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tables/table4.xml" ContentType="application/vnd.openxmlformats-officedocument.spreadsheetml.table+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6.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rawings/drawing7.xml" ContentType="application/vnd.openxmlformats-officedocument.drawing+xml"/>
  <Override PartName="/xl/tables/table9.xml" ContentType="application/vnd.openxmlformats-officedocument.spreadsheetml.table+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rawings/drawing8.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rawings/drawing9.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rawings/drawing10.xml" ContentType="application/vnd.openxmlformats-officedocument.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rawings/drawing11.xml" ContentType="application/vnd.openxmlformats-officedocument.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rawings/drawing12.xml" ContentType="application/vnd.openxmlformats-officedocument.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95" windowWidth="20730" windowHeight="9720" tabRatio="810"/>
  </bookViews>
  <sheets>
    <sheet name="HOME" sheetId="21" r:id="rId1"/>
    <sheet name="0.ORDER from" sheetId="1" r:id="rId2"/>
    <sheet name="1Surface" sheetId="19" r:id="rId3"/>
    <sheet name="2Length" sheetId="18" r:id="rId4"/>
    <sheet name="3Plaster" sheetId="17" r:id="rId5"/>
    <sheet name="4Weight" sheetId="16" r:id="rId6"/>
    <sheet name="5Earthquake" sheetId="15" r:id="rId7"/>
    <sheet name="6Offer" sheetId="20" r:id="rId8"/>
    <sheet name="7Bill" sheetId="22" r:id="rId9"/>
    <sheet name="8Con design" sheetId="23" r:id="rId10"/>
    <sheet name="9Link Damp" sheetId="24" r:id="rId11"/>
    <sheet name="10Link woll" sheetId="25" r:id="rId12"/>
    <sheet name="Sheet2" sheetId="2" r:id="rId13"/>
  </sheets>
  <externalReferences>
    <externalReference r:id="rId14"/>
    <externalReference r:id="rId15"/>
    <externalReference r:id="rId16"/>
  </externalReferences>
  <definedNames>
    <definedName name="_06.04.2017.">HOME!$Q$2</definedName>
  </definedNames>
  <calcPr calcId="145621"/>
</workbook>
</file>

<file path=xl/calcChain.xml><?xml version="1.0" encoding="utf-8"?>
<calcChain xmlns="http://schemas.openxmlformats.org/spreadsheetml/2006/main">
  <c r="S136" i="25" l="1"/>
  <c r="T136" i="25" s="1"/>
  <c r="N136" i="25"/>
  <c r="G136" i="25"/>
  <c r="F136" i="25"/>
  <c r="E136" i="25"/>
  <c r="L136" i="25" s="1"/>
  <c r="M136" i="25" s="1"/>
  <c r="S135" i="25"/>
  <c r="T135" i="25" s="1"/>
  <c r="N135" i="25"/>
  <c r="G135" i="25"/>
  <c r="F135" i="25"/>
  <c r="E135" i="25"/>
  <c r="L135" i="25" s="1"/>
  <c r="M135" i="25" s="1"/>
  <c r="O135" i="25" s="1"/>
  <c r="H133" i="25"/>
  <c r="G133" i="25"/>
  <c r="D133" i="25"/>
  <c r="G132" i="25"/>
  <c r="E132" i="25"/>
  <c r="G131" i="25"/>
  <c r="E131" i="25"/>
  <c r="G130" i="25"/>
  <c r="E130" i="25"/>
  <c r="J130" i="25" s="1"/>
  <c r="K130" i="25" s="1"/>
  <c r="G129" i="25"/>
  <c r="E129" i="25"/>
  <c r="E133" i="25" s="1"/>
  <c r="G127" i="25"/>
  <c r="E127" i="25"/>
  <c r="G126" i="25"/>
  <c r="E126" i="25"/>
  <c r="G125" i="25"/>
  <c r="E125" i="25"/>
  <c r="G124" i="25"/>
  <c r="E124" i="25"/>
  <c r="G123" i="25"/>
  <c r="E123" i="25"/>
  <c r="G122" i="25"/>
  <c r="E122" i="25"/>
  <c r="G121" i="25"/>
  <c r="E121" i="25"/>
  <c r="G120" i="25"/>
  <c r="E120" i="25"/>
  <c r="G119" i="25"/>
  <c r="E119" i="25"/>
  <c r="C119" i="25"/>
  <c r="C120" i="25" s="1"/>
  <c r="S118" i="25"/>
  <c r="T118" i="25" s="1"/>
  <c r="N118" i="25"/>
  <c r="G118" i="25"/>
  <c r="F118" i="25"/>
  <c r="E118" i="25"/>
  <c r="S107" i="25"/>
  <c r="T107" i="25" s="1"/>
  <c r="N107" i="25"/>
  <c r="G107" i="25"/>
  <c r="F107" i="25"/>
  <c r="E107" i="25"/>
  <c r="L107" i="25" s="1"/>
  <c r="M107" i="25" s="1"/>
  <c r="O107" i="25" s="1"/>
  <c r="S106" i="25"/>
  <c r="T106" i="25" s="1"/>
  <c r="N106" i="25"/>
  <c r="G106" i="25"/>
  <c r="F106" i="25"/>
  <c r="E106" i="25"/>
  <c r="L106" i="25" s="1"/>
  <c r="M106" i="25" s="1"/>
  <c r="H104" i="25"/>
  <c r="D104" i="25"/>
  <c r="G103" i="25"/>
  <c r="E103" i="25"/>
  <c r="G102" i="25"/>
  <c r="E102" i="25"/>
  <c r="G101" i="25"/>
  <c r="E101" i="25"/>
  <c r="G100" i="25"/>
  <c r="G104" i="25" s="1"/>
  <c r="E100" i="25"/>
  <c r="E104" i="25" s="1"/>
  <c r="G98" i="25"/>
  <c r="E98" i="25"/>
  <c r="G97" i="25"/>
  <c r="E97" i="25"/>
  <c r="G96" i="25"/>
  <c r="E96" i="25"/>
  <c r="G95" i="25"/>
  <c r="E95" i="25"/>
  <c r="G94" i="25"/>
  <c r="E94" i="25"/>
  <c r="G93" i="25"/>
  <c r="E93" i="25"/>
  <c r="G92" i="25"/>
  <c r="E92" i="25"/>
  <c r="G91" i="25"/>
  <c r="E91" i="25"/>
  <c r="G90" i="25"/>
  <c r="E90" i="25"/>
  <c r="C90" i="25"/>
  <c r="C91" i="25" s="1"/>
  <c r="S89" i="25"/>
  <c r="T89" i="25" s="1"/>
  <c r="N89" i="25"/>
  <c r="G89" i="25"/>
  <c r="F89" i="25"/>
  <c r="E89" i="25"/>
  <c r="J79" i="25"/>
  <c r="J78" i="25"/>
  <c r="J101" i="25" s="1"/>
  <c r="K101" i="25" s="1"/>
  <c r="J77" i="25"/>
  <c r="G75" i="25"/>
  <c r="E75" i="25"/>
  <c r="G74" i="25"/>
  <c r="D74" i="25"/>
  <c r="E74" i="25" s="1"/>
  <c r="G73" i="25"/>
  <c r="D73" i="25"/>
  <c r="E73" i="25" s="1"/>
  <c r="G72" i="25"/>
  <c r="D72" i="25"/>
  <c r="E72" i="25" s="1"/>
  <c r="G70" i="25"/>
  <c r="D70" i="25"/>
  <c r="E70" i="25" s="1"/>
  <c r="G69" i="25"/>
  <c r="D69" i="25"/>
  <c r="E69" i="25" s="1"/>
  <c r="G68" i="25"/>
  <c r="E68" i="25"/>
  <c r="G67" i="25"/>
  <c r="E67" i="25"/>
  <c r="G66" i="25"/>
  <c r="E66" i="25"/>
  <c r="G65" i="25"/>
  <c r="E65" i="25"/>
  <c r="G64" i="25"/>
  <c r="E64" i="25"/>
  <c r="G63" i="25"/>
  <c r="E63" i="25"/>
  <c r="G62" i="25"/>
  <c r="D62" i="25"/>
  <c r="E62" i="25" s="1"/>
  <c r="C62" i="25"/>
  <c r="C63" i="25" s="1"/>
  <c r="G61" i="25"/>
  <c r="D61" i="25"/>
  <c r="Q61" i="25" s="1"/>
  <c r="R61" i="25" s="1"/>
  <c r="L53" i="25"/>
  <c r="K53" i="25"/>
  <c r="K52" i="25"/>
  <c r="L52" i="25" s="1"/>
  <c r="L51" i="25"/>
  <c r="K51" i="25"/>
  <c r="K50" i="25"/>
  <c r="K49" i="25"/>
  <c r="K48" i="25"/>
  <c r="K47" i="25"/>
  <c r="K54" i="25" s="1"/>
  <c r="M54" i="25" s="1"/>
  <c r="G47" i="25"/>
  <c r="H47" i="25" s="1"/>
  <c r="D47" i="25"/>
  <c r="C46" i="25"/>
  <c r="D46" i="25" s="1"/>
  <c r="J44" i="25"/>
  <c r="F43" i="25"/>
  <c r="H43" i="25" s="1"/>
  <c r="J43" i="25" s="1"/>
  <c r="F42" i="25"/>
  <c r="H42" i="25" s="1"/>
  <c r="J42" i="25" s="1"/>
  <c r="G34" i="25"/>
  <c r="Q34" i="25" s="1"/>
  <c r="J29" i="25"/>
  <c r="P22" i="25"/>
  <c r="T23" i="25" s="1"/>
  <c r="O22" i="25"/>
  <c r="Q36" i="25" s="1"/>
  <c r="N22" i="25"/>
  <c r="L36" i="25" s="1"/>
  <c r="M22" i="25"/>
  <c r="H31" i="25" s="1"/>
  <c r="G22" i="25"/>
  <c r="P21" i="25"/>
  <c r="Q27" i="25" s="1"/>
  <c r="O21" i="25"/>
  <c r="P27" i="25" s="1"/>
  <c r="N21" i="25"/>
  <c r="O27" i="25" s="1"/>
  <c r="M21" i="25"/>
  <c r="N27" i="25" s="1"/>
  <c r="G15" i="25"/>
  <c r="G18" i="25" s="1"/>
  <c r="E15" i="25"/>
  <c r="G14" i="25"/>
  <c r="E14" i="25"/>
  <c r="G13" i="25"/>
  <c r="E13" i="25"/>
  <c r="G12" i="25"/>
  <c r="E12" i="25"/>
  <c r="G10" i="25"/>
  <c r="E10" i="25"/>
  <c r="G9" i="25"/>
  <c r="E9" i="25"/>
  <c r="G8" i="25"/>
  <c r="E8" i="25"/>
  <c r="G7" i="25"/>
  <c r="E7" i="25"/>
  <c r="G6" i="25"/>
  <c r="E6" i="25"/>
  <c r="G5" i="25"/>
  <c r="E5" i="25"/>
  <c r="G4" i="25"/>
  <c r="D4" i="25"/>
  <c r="E4" i="25" s="1"/>
  <c r="G3" i="25"/>
  <c r="E3" i="25"/>
  <c r="C3" i="25"/>
  <c r="C4" i="25" s="1"/>
  <c r="Q2" i="25"/>
  <c r="R2" i="25" s="1"/>
  <c r="L2" i="25"/>
  <c r="G2" i="25"/>
  <c r="F2" i="25"/>
  <c r="E2" i="25"/>
  <c r="J2" i="25" s="1"/>
  <c r="K2" i="25" s="1"/>
  <c r="B31" i="24"/>
  <c r="D30" i="24"/>
  <c r="E30" i="24" s="1"/>
  <c r="C29" i="24"/>
  <c r="E32" i="24" s="1"/>
  <c r="B23" i="24"/>
  <c r="D22" i="24"/>
  <c r="E22" i="24" s="1"/>
  <c r="C21" i="24"/>
  <c r="B16" i="24"/>
  <c r="D15" i="24"/>
  <c r="E15" i="24" s="1"/>
  <c r="C14" i="24"/>
  <c r="E17" i="24" s="1"/>
  <c r="B9" i="24"/>
  <c r="D8" i="24"/>
  <c r="E8" i="24" s="1"/>
  <c r="C7" i="24"/>
  <c r="N3" i="25" l="1"/>
  <c r="P90" i="25"/>
  <c r="P107" i="25"/>
  <c r="Q107" i="25" s="1"/>
  <c r="P119" i="25"/>
  <c r="P135" i="25"/>
  <c r="Q135" i="25" s="1"/>
  <c r="E10" i="24"/>
  <c r="E24" i="24"/>
  <c r="M2" i="25"/>
  <c r="L54" i="25"/>
  <c r="N54" i="25" s="1"/>
  <c r="P89" i="25"/>
  <c r="Q89" i="25" s="1"/>
  <c r="O106" i="25"/>
  <c r="P106" i="25"/>
  <c r="Q106" i="25" s="1"/>
  <c r="P118" i="25"/>
  <c r="Q118" i="25" s="1"/>
  <c r="O136" i="25"/>
  <c r="P136" i="25"/>
  <c r="Q136" i="25" s="1"/>
  <c r="C5" i="25"/>
  <c r="Q4" i="25"/>
  <c r="R4" i="25" s="1"/>
  <c r="L4" i="25"/>
  <c r="J4" i="25"/>
  <c r="K4" i="25" s="1"/>
  <c r="F4" i="25"/>
  <c r="H32" i="25"/>
  <c r="I31" i="25"/>
  <c r="C64" i="25"/>
  <c r="Q63" i="25"/>
  <c r="R63" i="25" s="1"/>
  <c r="L63" i="25"/>
  <c r="J63" i="25"/>
  <c r="K63" i="25" s="1"/>
  <c r="F63" i="25"/>
  <c r="C92" i="25"/>
  <c r="S91" i="25"/>
  <c r="T91" i="25" s="1"/>
  <c r="N91" i="25"/>
  <c r="L91" i="25"/>
  <c r="M91" i="25" s="1"/>
  <c r="F91" i="25"/>
  <c r="N4" i="25"/>
  <c r="N5" i="25"/>
  <c r="Q37" i="25"/>
  <c r="N62" i="25"/>
  <c r="N63" i="25"/>
  <c r="O63" i="25" s="1"/>
  <c r="N64" i="25"/>
  <c r="P91" i="25"/>
  <c r="P92" i="25"/>
  <c r="J127" i="25"/>
  <c r="K127" i="25" s="1"/>
  <c r="J126" i="25"/>
  <c r="K126" i="25" s="1"/>
  <c r="J119" i="25"/>
  <c r="K119" i="25" s="1"/>
  <c r="L119" i="25" s="1"/>
  <c r="M119" i="25" s="1"/>
  <c r="J118" i="25"/>
  <c r="K118" i="25" s="1"/>
  <c r="L118" i="25" s="1"/>
  <c r="M118" i="25" s="1"/>
  <c r="O118" i="25" s="1"/>
  <c r="J131" i="25"/>
  <c r="K131" i="25" s="1"/>
  <c r="J129" i="25"/>
  <c r="K129" i="25" s="1"/>
  <c r="J102" i="25"/>
  <c r="K102" i="25" s="1"/>
  <c r="J100" i="25"/>
  <c r="K100" i="25" s="1"/>
  <c r="C121" i="25"/>
  <c r="S120" i="25"/>
  <c r="T120" i="25" s="1"/>
  <c r="N120" i="25"/>
  <c r="L120" i="25"/>
  <c r="M120" i="25" s="1"/>
  <c r="F120" i="25"/>
  <c r="I2" i="25"/>
  <c r="N2" i="25"/>
  <c r="O2" i="25" s="1"/>
  <c r="F3" i="25"/>
  <c r="O3" i="25" s="1"/>
  <c r="I3" i="25"/>
  <c r="J3" i="25"/>
  <c r="K3" i="25" s="1"/>
  <c r="M3" i="25" s="1"/>
  <c r="L3" i="25"/>
  <c r="Q3" i="25"/>
  <c r="R3" i="25" s="1"/>
  <c r="I4" i="25"/>
  <c r="I5" i="25"/>
  <c r="I6" i="25"/>
  <c r="I7" i="25"/>
  <c r="I8" i="25"/>
  <c r="I9" i="25"/>
  <c r="I10" i="25"/>
  <c r="I12" i="25"/>
  <c r="I13" i="25"/>
  <c r="I14" i="25"/>
  <c r="I15" i="25"/>
  <c r="G19" i="25" s="1"/>
  <c r="Q23" i="25"/>
  <c r="R23" i="25"/>
  <c r="S23" i="25"/>
  <c r="L34" i="25"/>
  <c r="L37" i="25" s="1"/>
  <c r="J36" i="25"/>
  <c r="J37" i="25" s="1"/>
  <c r="K36" i="25"/>
  <c r="K37" i="25" s="1"/>
  <c r="O36" i="25"/>
  <c r="O37" i="25" s="1"/>
  <c r="P36" i="25"/>
  <c r="P37" i="25" s="1"/>
  <c r="E61" i="25"/>
  <c r="J61" i="25" s="1"/>
  <c r="K61" i="25" s="1"/>
  <c r="F61" i="25"/>
  <c r="I61" i="25"/>
  <c r="L61" i="25"/>
  <c r="F62" i="25"/>
  <c r="I62" i="25"/>
  <c r="J62" i="25"/>
  <c r="K62" i="25" s="1"/>
  <c r="M62" i="25" s="1"/>
  <c r="L62" i="25"/>
  <c r="Q62" i="25"/>
  <c r="R62" i="25" s="1"/>
  <c r="I63" i="25"/>
  <c r="I64" i="25"/>
  <c r="I65" i="25"/>
  <c r="I66" i="25"/>
  <c r="I67" i="25"/>
  <c r="I68" i="25"/>
  <c r="I69" i="25"/>
  <c r="I70" i="25"/>
  <c r="I72" i="25"/>
  <c r="I73" i="25"/>
  <c r="I74" i="25"/>
  <c r="I75" i="25"/>
  <c r="K78" i="25"/>
  <c r="L78" i="25" s="1"/>
  <c r="M78" i="25" s="1"/>
  <c r="N78" i="25" s="1"/>
  <c r="I89" i="25"/>
  <c r="J89" i="25"/>
  <c r="K89" i="25" s="1"/>
  <c r="L89" i="25" s="1"/>
  <c r="M89" i="25" s="1"/>
  <c r="O89" i="25" s="1"/>
  <c r="F90" i="25"/>
  <c r="Q90" i="25" s="1"/>
  <c r="I90" i="25"/>
  <c r="J90" i="25"/>
  <c r="K90" i="25" s="1"/>
  <c r="L90" i="25" s="1"/>
  <c r="M90" i="25" s="1"/>
  <c r="O90" i="25" s="1"/>
  <c r="N90" i="25"/>
  <c r="S90" i="25"/>
  <c r="T90" i="25" s="1"/>
  <c r="I91" i="25"/>
  <c r="I92" i="25"/>
  <c r="I93" i="25"/>
  <c r="I94" i="25"/>
  <c r="I95" i="25"/>
  <c r="I96" i="25"/>
  <c r="I97" i="25"/>
  <c r="J97" i="25"/>
  <c r="K97" i="25" s="1"/>
  <c r="I98" i="25"/>
  <c r="J98" i="25"/>
  <c r="K98" i="25" s="1"/>
  <c r="P120" i="25"/>
  <c r="Q120" i="25" s="1"/>
  <c r="P121" i="25"/>
  <c r="I100" i="25"/>
  <c r="I104" i="25" s="1"/>
  <c r="I101" i="25"/>
  <c r="I102" i="25"/>
  <c r="I103" i="25"/>
  <c r="I106" i="25"/>
  <c r="I107" i="25"/>
  <c r="F119" i="25"/>
  <c r="N119" i="25"/>
  <c r="S119" i="25"/>
  <c r="T119" i="25" s="1"/>
  <c r="I135" i="25"/>
  <c r="I136" i="25"/>
  <c r="E7" i="24"/>
  <c r="E14" i="24"/>
  <c r="E21" i="24"/>
  <c r="E29" i="24"/>
  <c r="H25" i="22"/>
  <c r="Q25" i="22"/>
  <c r="Q15" i="22"/>
  <c r="Q13" i="22"/>
  <c r="Q119" i="25" l="1"/>
  <c r="Q91" i="25"/>
  <c r="O4" i="25"/>
  <c r="C122" i="25"/>
  <c r="S121" i="25"/>
  <c r="T121" i="25" s="1"/>
  <c r="N121" i="25"/>
  <c r="L121" i="25"/>
  <c r="M121" i="25" s="1"/>
  <c r="F121" i="25"/>
  <c r="C93" i="25"/>
  <c r="S92" i="25"/>
  <c r="T92" i="25" s="1"/>
  <c r="N92" i="25"/>
  <c r="L92" i="25"/>
  <c r="M92" i="25" s="1"/>
  <c r="F92" i="25"/>
  <c r="C65" i="25"/>
  <c r="Q64" i="25"/>
  <c r="R64" i="25" s="1"/>
  <c r="L64" i="25"/>
  <c r="J64" i="25"/>
  <c r="K64" i="25" s="1"/>
  <c r="F64" i="25"/>
  <c r="O64" i="25" s="1"/>
  <c r="I32" i="25"/>
  <c r="J31" i="25"/>
  <c r="J32" i="25" s="1"/>
  <c r="C6" i="25"/>
  <c r="Q5" i="25"/>
  <c r="R5" i="25" s="1"/>
  <c r="L5" i="25"/>
  <c r="J5" i="25"/>
  <c r="K5" i="25" s="1"/>
  <c r="F5" i="25"/>
  <c r="Q121" i="25"/>
  <c r="M61" i="25"/>
  <c r="O120" i="25"/>
  <c r="O119" i="25"/>
  <c r="Q92" i="25"/>
  <c r="O62" i="25"/>
  <c r="N61" i="25"/>
  <c r="O61" i="25" s="1"/>
  <c r="O5" i="25"/>
  <c r="O91" i="25"/>
  <c r="M63" i="25"/>
  <c r="M4" i="25"/>
  <c r="C54" i="2"/>
  <c r="C7" i="25" l="1"/>
  <c r="Q6" i="25"/>
  <c r="R6" i="25" s="1"/>
  <c r="L6" i="25"/>
  <c r="J6" i="25"/>
  <c r="K6" i="25" s="1"/>
  <c r="F6" i="25"/>
  <c r="N6" i="25"/>
  <c r="O6" i="25" s="1"/>
  <c r="C66" i="25"/>
  <c r="Q65" i="25"/>
  <c r="R65" i="25" s="1"/>
  <c r="L65" i="25"/>
  <c r="J65" i="25"/>
  <c r="K65" i="25" s="1"/>
  <c r="F65" i="25"/>
  <c r="N65" i="25"/>
  <c r="O65" i="25" s="1"/>
  <c r="C94" i="25"/>
  <c r="S93" i="25"/>
  <c r="T93" i="25" s="1"/>
  <c r="N93" i="25"/>
  <c r="L93" i="25"/>
  <c r="M93" i="25" s="1"/>
  <c r="F93" i="25"/>
  <c r="P93" i="25"/>
  <c r="Q93" i="25" s="1"/>
  <c r="C123" i="25"/>
  <c r="S122" i="25"/>
  <c r="T122" i="25" s="1"/>
  <c r="N122" i="25"/>
  <c r="L122" i="25"/>
  <c r="M122" i="25" s="1"/>
  <c r="F122" i="25"/>
  <c r="P122" i="25"/>
  <c r="Q122" i="25" s="1"/>
  <c r="M5" i="25"/>
  <c r="M64" i="25"/>
  <c r="O92" i="25"/>
  <c r="O121" i="25"/>
  <c r="Q21" i="22"/>
  <c r="Q18" i="22"/>
  <c r="P11" i="22"/>
  <c r="G22" i="22"/>
  <c r="G19" i="22"/>
  <c r="H21" i="22"/>
  <c r="G15" i="22"/>
  <c r="G14" i="22"/>
  <c r="G13" i="22"/>
  <c r="G11" i="22"/>
  <c r="P21" i="20"/>
  <c r="P13" i="20"/>
  <c r="Q17" i="20"/>
  <c r="G16" i="20"/>
  <c r="G19" i="20"/>
  <c r="G22" i="20"/>
  <c r="C124" i="25" l="1"/>
  <c r="S123" i="25"/>
  <c r="T123" i="25" s="1"/>
  <c r="N123" i="25"/>
  <c r="L123" i="25"/>
  <c r="M123" i="25" s="1"/>
  <c r="F123" i="25"/>
  <c r="P123" i="25"/>
  <c r="Q123" i="25" s="1"/>
  <c r="C95" i="25"/>
  <c r="S94" i="25"/>
  <c r="T94" i="25" s="1"/>
  <c r="N94" i="25"/>
  <c r="L94" i="25"/>
  <c r="M94" i="25" s="1"/>
  <c r="F94" i="25"/>
  <c r="P94" i="25"/>
  <c r="Q94" i="25" s="1"/>
  <c r="C67" i="25"/>
  <c r="Q66" i="25"/>
  <c r="R66" i="25" s="1"/>
  <c r="L66" i="25"/>
  <c r="J66" i="25"/>
  <c r="K66" i="25" s="1"/>
  <c r="F66" i="25"/>
  <c r="N66" i="25"/>
  <c r="O66" i="25" s="1"/>
  <c r="C8" i="25"/>
  <c r="Q7" i="25"/>
  <c r="R7" i="25" s="1"/>
  <c r="L7" i="25"/>
  <c r="J7" i="25"/>
  <c r="K7" i="25" s="1"/>
  <c r="F7" i="25"/>
  <c r="N7" i="25"/>
  <c r="O7" i="25" s="1"/>
  <c r="O122" i="25"/>
  <c r="O93" i="25"/>
  <c r="M65" i="25"/>
  <c r="M6" i="25"/>
  <c r="K6" i="2"/>
  <c r="K7" i="2"/>
  <c r="K5" i="2"/>
  <c r="E46" i="2"/>
  <c r="E20" i="2"/>
  <c r="D16" i="2"/>
  <c r="D15" i="2"/>
  <c r="D14" i="2"/>
  <c r="D11" i="2"/>
  <c r="D10" i="2"/>
  <c r="D9" i="2"/>
  <c r="E16" i="19"/>
  <c r="C9" i="25" l="1"/>
  <c r="Q8" i="25"/>
  <c r="R8" i="25" s="1"/>
  <c r="L8" i="25"/>
  <c r="J8" i="25"/>
  <c r="K8" i="25" s="1"/>
  <c r="F8" i="25"/>
  <c r="N8" i="25"/>
  <c r="O8" i="25" s="1"/>
  <c r="C68" i="25"/>
  <c r="Q67" i="25"/>
  <c r="R67" i="25" s="1"/>
  <c r="L67" i="25"/>
  <c r="J67" i="25"/>
  <c r="K67" i="25" s="1"/>
  <c r="F67" i="25"/>
  <c r="N67" i="25"/>
  <c r="O67" i="25" s="1"/>
  <c r="C96" i="25"/>
  <c r="S95" i="25"/>
  <c r="T95" i="25" s="1"/>
  <c r="N95" i="25"/>
  <c r="L95" i="25"/>
  <c r="M95" i="25" s="1"/>
  <c r="F95" i="25"/>
  <c r="P95" i="25"/>
  <c r="Q95" i="25" s="1"/>
  <c r="C125" i="25"/>
  <c r="S124" i="25"/>
  <c r="T124" i="25" s="1"/>
  <c r="N124" i="25"/>
  <c r="L124" i="25"/>
  <c r="M124" i="25" s="1"/>
  <c r="F124" i="25"/>
  <c r="P124" i="25"/>
  <c r="Q124" i="25" s="1"/>
  <c r="M7" i="25"/>
  <c r="M66" i="25"/>
  <c r="O94" i="25"/>
  <c r="O123" i="25"/>
  <c r="F52" i="2"/>
  <c r="C53" i="2"/>
  <c r="I16" i="19"/>
  <c r="D12" i="2"/>
  <c r="F31" i="2" s="1"/>
  <c r="D17" i="2"/>
  <c r="E17" i="2" s="1"/>
  <c r="C126" i="25" l="1"/>
  <c r="S125" i="25"/>
  <c r="T125" i="25" s="1"/>
  <c r="N125" i="25"/>
  <c r="L125" i="25"/>
  <c r="M125" i="25" s="1"/>
  <c r="F125" i="25"/>
  <c r="P125" i="25"/>
  <c r="Q125" i="25" s="1"/>
  <c r="C97" i="25"/>
  <c r="S96" i="25"/>
  <c r="T96" i="25" s="1"/>
  <c r="N96" i="25"/>
  <c r="L96" i="25"/>
  <c r="M96" i="25" s="1"/>
  <c r="F96" i="25"/>
  <c r="P96" i="25"/>
  <c r="Q96" i="25" s="1"/>
  <c r="C69" i="25"/>
  <c r="Q68" i="25"/>
  <c r="R68" i="25" s="1"/>
  <c r="L68" i="25"/>
  <c r="J68" i="25"/>
  <c r="K68" i="25" s="1"/>
  <c r="F68" i="25"/>
  <c r="N68" i="25"/>
  <c r="O68" i="25" s="1"/>
  <c r="C10" i="25"/>
  <c r="Q9" i="25"/>
  <c r="R9" i="25" s="1"/>
  <c r="L9" i="25"/>
  <c r="J9" i="25"/>
  <c r="K9" i="25" s="1"/>
  <c r="F9" i="25"/>
  <c r="N9" i="25"/>
  <c r="O9" i="25" s="1"/>
  <c r="O124" i="25"/>
  <c r="O95" i="25"/>
  <c r="M67" i="25"/>
  <c r="M8" i="25"/>
  <c r="F35" i="2"/>
  <c r="C48" i="2"/>
  <c r="F11" i="22" s="1"/>
  <c r="H11" i="22" s="1"/>
  <c r="C47" i="2"/>
  <c r="E47" i="2" s="1"/>
  <c r="C45" i="2"/>
  <c r="O13" i="20" s="1"/>
  <c r="Q13" i="20" s="1"/>
  <c r="E7" i="2"/>
  <c r="E6" i="2"/>
  <c r="F53" i="2"/>
  <c r="O11" i="22"/>
  <c r="Q11" i="22" s="1"/>
  <c r="C12" i="25" l="1"/>
  <c r="Q10" i="25"/>
  <c r="R10" i="25" s="1"/>
  <c r="L10" i="25"/>
  <c r="J10" i="25"/>
  <c r="K10" i="25" s="1"/>
  <c r="F10" i="25"/>
  <c r="N10" i="25"/>
  <c r="O10" i="25" s="1"/>
  <c r="C72" i="25"/>
  <c r="C70" i="25"/>
  <c r="Q69" i="25"/>
  <c r="R69" i="25" s="1"/>
  <c r="L69" i="25"/>
  <c r="J69" i="25"/>
  <c r="K69" i="25" s="1"/>
  <c r="F69" i="25"/>
  <c r="N69" i="25"/>
  <c r="C100" i="25"/>
  <c r="C98" i="25"/>
  <c r="S97" i="25"/>
  <c r="T97" i="25" s="1"/>
  <c r="N97" i="25"/>
  <c r="F97" i="25"/>
  <c r="P97" i="25"/>
  <c r="L97" i="25"/>
  <c r="M97" i="25" s="1"/>
  <c r="O97" i="25" s="1"/>
  <c r="C129" i="25"/>
  <c r="C127" i="25"/>
  <c r="S126" i="25"/>
  <c r="T126" i="25" s="1"/>
  <c r="N126" i="25"/>
  <c r="F126" i="25"/>
  <c r="P126" i="25"/>
  <c r="Q126" i="25" s="1"/>
  <c r="L126" i="25"/>
  <c r="M126" i="25" s="1"/>
  <c r="O126" i="25" s="1"/>
  <c r="M9" i="25"/>
  <c r="M68" i="25"/>
  <c r="O96" i="25"/>
  <c r="O125" i="25"/>
  <c r="E45" i="2"/>
  <c r="E29" i="2"/>
  <c r="G29" i="2" s="1"/>
  <c r="F48" i="2"/>
  <c r="O21" i="20"/>
  <c r="Q21" i="20" s="1"/>
  <c r="Q97" i="25" l="1"/>
  <c r="O69" i="25"/>
  <c r="S127" i="25"/>
  <c r="T127" i="25" s="1"/>
  <c r="N127" i="25"/>
  <c r="F127" i="25"/>
  <c r="P127" i="25"/>
  <c r="Q127" i="25" s="1"/>
  <c r="L127" i="25"/>
  <c r="M127" i="25" s="1"/>
  <c r="O127" i="25" s="1"/>
  <c r="C131" i="25"/>
  <c r="C130" i="25"/>
  <c r="S129" i="25"/>
  <c r="T129" i="25" s="1"/>
  <c r="N129" i="25"/>
  <c r="F129" i="25"/>
  <c r="F133" i="25" s="1"/>
  <c r="P129" i="25"/>
  <c r="L129" i="25"/>
  <c r="M129" i="25" s="1"/>
  <c r="O129" i="25" s="1"/>
  <c r="S98" i="25"/>
  <c r="T98" i="25" s="1"/>
  <c r="N98" i="25"/>
  <c r="F98" i="25"/>
  <c r="P98" i="25"/>
  <c r="Q98" i="25" s="1"/>
  <c r="L98" i="25"/>
  <c r="M98" i="25" s="1"/>
  <c r="O98" i="25" s="1"/>
  <c r="C102" i="25"/>
  <c r="C101" i="25"/>
  <c r="S100" i="25"/>
  <c r="T100" i="25" s="1"/>
  <c r="N100" i="25"/>
  <c r="F100" i="25"/>
  <c r="F104" i="25" s="1"/>
  <c r="P100" i="25"/>
  <c r="L100" i="25"/>
  <c r="M100" i="25" s="1"/>
  <c r="O100" i="25" s="1"/>
  <c r="Q70" i="25"/>
  <c r="R70" i="25" s="1"/>
  <c r="L70" i="25"/>
  <c r="J70" i="25"/>
  <c r="K70" i="25" s="1"/>
  <c r="F70" i="25"/>
  <c r="N70" i="25"/>
  <c r="C74" i="25"/>
  <c r="C73" i="25"/>
  <c r="Q72" i="25"/>
  <c r="R72" i="25" s="1"/>
  <c r="L72" i="25"/>
  <c r="J72" i="25"/>
  <c r="K72" i="25" s="1"/>
  <c r="F72" i="25"/>
  <c r="N72" i="25"/>
  <c r="O72" i="25" s="1"/>
  <c r="C14" i="25"/>
  <c r="C13" i="25"/>
  <c r="Q12" i="25"/>
  <c r="R12" i="25" s="1"/>
  <c r="L12" i="25"/>
  <c r="J12" i="25"/>
  <c r="K12" i="25" s="1"/>
  <c r="F12" i="25"/>
  <c r="N12" i="25"/>
  <c r="M69" i="25"/>
  <c r="M10" i="25"/>
  <c r="F33" i="2"/>
  <c r="D35" i="2" s="1"/>
  <c r="C44" i="2" s="1"/>
  <c r="O12" i="25" l="1"/>
  <c r="O70" i="25"/>
  <c r="Q100" i="25"/>
  <c r="Q129" i="25"/>
  <c r="C15" i="25"/>
  <c r="Q13" i="25"/>
  <c r="R13" i="25" s="1"/>
  <c r="L13" i="25"/>
  <c r="J13" i="25"/>
  <c r="K13" i="25" s="1"/>
  <c r="F13" i="25"/>
  <c r="N13" i="25"/>
  <c r="O13" i="25" s="1"/>
  <c r="Q14" i="25"/>
  <c r="R14" i="25" s="1"/>
  <c r="L14" i="25"/>
  <c r="J14" i="25"/>
  <c r="K14" i="25" s="1"/>
  <c r="F14" i="25"/>
  <c r="N14" i="25"/>
  <c r="C75" i="25"/>
  <c r="Q73" i="25"/>
  <c r="R73" i="25" s="1"/>
  <c r="L73" i="25"/>
  <c r="J73" i="25"/>
  <c r="K73" i="25" s="1"/>
  <c r="F73" i="25"/>
  <c r="N73" i="25"/>
  <c r="Q74" i="25"/>
  <c r="R74" i="25" s="1"/>
  <c r="L74" i="25"/>
  <c r="J74" i="25"/>
  <c r="K74" i="25" s="1"/>
  <c r="F74" i="25"/>
  <c r="N74" i="25"/>
  <c r="O74" i="25" s="1"/>
  <c r="C103" i="25"/>
  <c r="S101" i="25"/>
  <c r="T101" i="25" s="1"/>
  <c r="N101" i="25"/>
  <c r="F101" i="25"/>
  <c r="L101" i="25"/>
  <c r="M101" i="25" s="1"/>
  <c r="P101" i="25"/>
  <c r="Q101" i="25" s="1"/>
  <c r="C104" i="25"/>
  <c r="S102" i="25"/>
  <c r="T102" i="25" s="1"/>
  <c r="N102" i="25"/>
  <c r="F102" i="25"/>
  <c r="P102" i="25"/>
  <c r="L102" i="25"/>
  <c r="M102" i="25" s="1"/>
  <c r="O102" i="25" s="1"/>
  <c r="C132" i="25"/>
  <c r="S130" i="25"/>
  <c r="T130" i="25" s="1"/>
  <c r="N130" i="25"/>
  <c r="F130" i="25"/>
  <c r="L130" i="25"/>
  <c r="M130" i="25" s="1"/>
  <c r="P130" i="25"/>
  <c r="Q130" i="25" s="1"/>
  <c r="C133" i="25"/>
  <c r="S131" i="25"/>
  <c r="T131" i="25" s="1"/>
  <c r="N131" i="25"/>
  <c r="F131" i="25"/>
  <c r="P131" i="25"/>
  <c r="L131" i="25"/>
  <c r="M131" i="25" s="1"/>
  <c r="O131" i="25" s="1"/>
  <c r="M12" i="25"/>
  <c r="M72" i="25"/>
  <c r="M70" i="25"/>
  <c r="C50" i="2"/>
  <c r="F14" i="22" s="1"/>
  <c r="H14" i="22" s="1"/>
  <c r="C42" i="2"/>
  <c r="C51" i="2"/>
  <c r="F51" i="2" s="1"/>
  <c r="C43" i="2"/>
  <c r="E44" i="2"/>
  <c r="F22" i="20"/>
  <c r="H22" i="20" s="1"/>
  <c r="F50" i="2"/>
  <c r="Q131" i="25" l="1"/>
  <c r="O130" i="25"/>
  <c r="Q102" i="25"/>
  <c r="O101" i="25"/>
  <c r="O73" i="25"/>
  <c r="O14" i="25"/>
  <c r="S133" i="25"/>
  <c r="T133" i="25" s="1"/>
  <c r="N133" i="25"/>
  <c r="L133" i="25"/>
  <c r="M133" i="25" s="1"/>
  <c r="O133" i="25" s="1"/>
  <c r="P133" i="25"/>
  <c r="Q133" i="25" s="1"/>
  <c r="S132" i="25"/>
  <c r="T132" i="25" s="1"/>
  <c r="N132" i="25"/>
  <c r="L132" i="25"/>
  <c r="M132" i="25" s="1"/>
  <c r="F132" i="25"/>
  <c r="P132" i="25"/>
  <c r="S104" i="25"/>
  <c r="T104" i="25" s="1"/>
  <c r="N104" i="25"/>
  <c r="L104" i="25"/>
  <c r="M104" i="25" s="1"/>
  <c r="O104" i="25" s="1"/>
  <c r="P104" i="25"/>
  <c r="Q104" i="25" s="1"/>
  <c r="S103" i="25"/>
  <c r="T103" i="25" s="1"/>
  <c r="N103" i="25"/>
  <c r="L103" i="25"/>
  <c r="M103" i="25" s="1"/>
  <c r="F103" i="25"/>
  <c r="P103" i="25"/>
  <c r="Q103" i="25" s="1"/>
  <c r="Q75" i="25"/>
  <c r="R75" i="25" s="1"/>
  <c r="L75" i="25"/>
  <c r="J75" i="25"/>
  <c r="K75" i="25" s="1"/>
  <c r="F75" i="25"/>
  <c r="N75" i="25"/>
  <c r="Q15" i="25"/>
  <c r="R15" i="25" s="1"/>
  <c r="L15" i="25"/>
  <c r="J15" i="25"/>
  <c r="K15" i="25" s="1"/>
  <c r="F15" i="25"/>
  <c r="N15" i="25"/>
  <c r="O15" i="25" s="1"/>
  <c r="M74" i="25"/>
  <c r="M73" i="25"/>
  <c r="M14" i="25"/>
  <c r="M13" i="25"/>
  <c r="F19" i="22"/>
  <c r="H19" i="22" s="1"/>
  <c r="C59" i="2"/>
  <c r="C49" i="2"/>
  <c r="F19" i="20"/>
  <c r="H19" i="20" s="1"/>
  <c r="E43" i="2"/>
  <c r="F16" i="20"/>
  <c r="H16" i="20" s="1"/>
  <c r="C11" i="20" s="1"/>
  <c r="E42" i="2"/>
  <c r="E62" i="2" s="1"/>
  <c r="E63" i="2" s="1"/>
  <c r="O75" i="25" l="1"/>
  <c r="Q132" i="25"/>
  <c r="M15" i="25"/>
  <c r="M75" i="25"/>
  <c r="O103" i="25"/>
  <c r="O132" i="25"/>
  <c r="C65" i="2"/>
  <c r="G11" i="21"/>
  <c r="C12" i="20"/>
  <c r="C68" i="2"/>
  <c r="G18" i="21" s="1"/>
  <c r="C66" i="2"/>
  <c r="G12" i="21" s="1"/>
  <c r="C67" i="2"/>
  <c r="G15" i="21" s="1"/>
  <c r="F13" i="22"/>
  <c r="H13" i="22" s="1"/>
  <c r="F49" i="2"/>
  <c r="C58" i="2"/>
  <c r="F22" i="22"/>
  <c r="H22" i="22" s="1"/>
  <c r="F59" i="2"/>
  <c r="C69" i="2" l="1"/>
  <c r="G21" i="21" s="1"/>
  <c r="F15" i="22"/>
  <c r="H15" i="22" s="1"/>
  <c r="D11" i="20" s="1"/>
  <c r="F58" i="2"/>
  <c r="F62" i="2" s="1"/>
  <c r="F63" i="2" s="1"/>
  <c r="D12" i="20" l="1"/>
</calcChain>
</file>

<file path=xl/sharedStrings.xml><?xml version="1.0" encoding="utf-8"?>
<sst xmlns="http://schemas.openxmlformats.org/spreadsheetml/2006/main" count="542" uniqueCount="275">
  <si>
    <t>Sistem DC90 Co.Ltd</t>
  </si>
  <si>
    <t>Purchaser:</t>
  </si>
  <si>
    <t>Basic information:</t>
  </si>
  <si>
    <r>
      <t>P (m</t>
    </r>
    <r>
      <rPr>
        <vertAlign val="superscript"/>
        <sz val="11"/>
        <color theme="1"/>
        <rFont val="Calibri"/>
        <family val="2"/>
        <charset val="238"/>
        <scheme val="minor"/>
      </rPr>
      <t>2</t>
    </r>
    <r>
      <rPr>
        <sz val="11"/>
        <color theme="1"/>
        <rFont val="Calibri"/>
        <family val="2"/>
        <charset val="238"/>
        <scheme val="minor"/>
      </rPr>
      <t>)</t>
    </r>
  </si>
  <si>
    <r>
      <t>L (m</t>
    </r>
    <r>
      <rPr>
        <vertAlign val="superscript"/>
        <sz val="11"/>
        <color theme="1"/>
        <rFont val="Calibri"/>
        <family val="2"/>
        <charset val="238"/>
        <scheme val="minor"/>
      </rPr>
      <t>1</t>
    </r>
    <r>
      <rPr>
        <sz val="11"/>
        <color theme="1"/>
        <rFont val="Calibri"/>
        <family val="2"/>
        <charset val="238"/>
        <scheme val="minor"/>
      </rPr>
      <t>)</t>
    </r>
  </si>
  <si>
    <t xml:space="preserve">The gross Ground floor surface </t>
  </si>
  <si>
    <t>The gross surface of the first etraz</t>
  </si>
  <si>
    <t xml:space="preserve">The gross surface of the second floor </t>
  </si>
  <si>
    <t xml:space="preserve">The height between the floor </t>
  </si>
  <si>
    <t xml:space="preserve">Length of partition walls </t>
  </si>
  <si>
    <t>The thickness of the partition wall</t>
  </si>
  <si>
    <t>The thickness of of facade walls</t>
  </si>
  <si>
    <t>Longer of facade walls</t>
  </si>
  <si>
    <r>
      <t>(m</t>
    </r>
    <r>
      <rPr>
        <vertAlign val="superscript"/>
        <sz val="11"/>
        <color theme="1"/>
        <rFont val="Calibri"/>
        <family val="2"/>
        <charset val="238"/>
        <scheme val="minor"/>
      </rPr>
      <t>1</t>
    </r>
    <r>
      <rPr>
        <sz val="11"/>
        <color theme="1"/>
        <rFont val="Calibri"/>
        <family val="2"/>
        <charset val="238"/>
        <scheme val="minor"/>
      </rPr>
      <t>)</t>
    </r>
  </si>
  <si>
    <t>(0 = no, 1 = yes)</t>
  </si>
  <si>
    <t>PLASTER</t>
  </si>
  <si>
    <t>BAD</t>
  </si>
  <si>
    <t>MIDDLE</t>
  </si>
  <si>
    <t>GOOD</t>
  </si>
  <si>
    <t xml:space="preserve">Weight flor slabs </t>
  </si>
  <si>
    <t>or other weight</t>
  </si>
  <si>
    <r>
      <t>3,00 kN/m</t>
    </r>
    <r>
      <rPr>
        <vertAlign val="superscript"/>
        <sz val="11"/>
        <color theme="1"/>
        <rFont val="Calibri"/>
        <family val="2"/>
        <charset val="238"/>
        <scheme val="minor"/>
      </rPr>
      <t>2</t>
    </r>
  </si>
  <si>
    <r>
      <t>4,00 kN/m</t>
    </r>
    <r>
      <rPr>
        <vertAlign val="superscript"/>
        <sz val="11"/>
        <color theme="1"/>
        <rFont val="Calibri"/>
        <family val="2"/>
        <charset val="238"/>
        <scheme val="minor"/>
      </rPr>
      <t>2</t>
    </r>
  </si>
  <si>
    <t>number of floors</t>
  </si>
  <si>
    <t>number</t>
  </si>
  <si>
    <t>g</t>
  </si>
  <si>
    <t>s</t>
  </si>
  <si>
    <t>tavan</t>
  </si>
  <si>
    <t>masa objekta</t>
  </si>
  <si>
    <t>sila koja pripada damperu</t>
  </si>
  <si>
    <t>sila koju prima zid</t>
  </si>
  <si>
    <t>broj dampera u osnovi</t>
  </si>
  <si>
    <t>pieces</t>
  </si>
  <si>
    <t>7.Reinforcement ф=25 + connection material.</t>
  </si>
  <si>
    <t>kg</t>
  </si>
  <si>
    <t xml:space="preserve">8.   Steel elements, dimensions (20x25 mm, 30x35mm.  and 30x50mm) +connection material </t>
  </si>
  <si>
    <t>8a.  Steel anchors Diameter 30mm, L= 1000</t>
  </si>
  <si>
    <t>9.Cutting in vertical and askance slits in the walls of the object, dimension: 12,0 x 8,0 cm diagonal, for bracing and vertical prestressing</t>
  </si>
  <si>
    <t>m</t>
  </si>
  <si>
    <t>10. Additives for concrete</t>
  </si>
  <si>
    <t>m2</t>
  </si>
  <si>
    <t xml:space="preserve">12. cracks and fissures
</t>
  </si>
  <si>
    <t>13. Reinforcement of walls. Strengthening of masonry walls with reinforced cement coating</t>
  </si>
  <si>
    <t>14. Consolidation of the foundation</t>
  </si>
  <si>
    <t>m3</t>
  </si>
  <si>
    <t>15. Mounting steel elements</t>
  </si>
  <si>
    <t>16. Concreting of fine-grained concrete dimendion (12,0x8,0 cm)</t>
  </si>
  <si>
    <t>Total (Euro)</t>
  </si>
  <si>
    <t>per m2</t>
  </si>
  <si>
    <t>0,05 &lt;ag≤ 0,40</t>
  </si>
  <si>
    <t>ag</t>
  </si>
  <si>
    <t>Dam1= 166kN, Damr2=333kN Dam3=500kN</t>
  </si>
  <si>
    <r>
      <rPr>
        <b/>
        <sz val="12"/>
        <color rgb="FFFF0000"/>
        <rFont val="Calibri"/>
        <family val="2"/>
        <scheme val="minor"/>
      </rPr>
      <t>ag=?</t>
    </r>
    <r>
      <rPr>
        <b/>
        <sz val="12"/>
        <color theme="1"/>
        <rFont val="Calibri"/>
        <family val="2"/>
        <scheme val="minor"/>
      </rPr>
      <t xml:space="preserve"> Seismic zone Acceleration 1-4</t>
    </r>
  </si>
  <si>
    <t>dampers</t>
  </si>
  <si>
    <t>€</t>
  </si>
  <si>
    <t>1. Dampers Italy  type base                   (VERTICAL STIFFENING WITH THE DAMPERS IN THE PLANE OF THE WALL. Hysteresis wall control of forces in the plane of the wall after the first cracks.)</t>
  </si>
  <si>
    <t>Description</t>
  </si>
  <si>
    <r>
      <rPr>
        <sz val="10"/>
        <color theme="1"/>
        <rFont val="Symbol"/>
        <family val="1"/>
        <charset val="2"/>
      </rPr>
      <t>S</t>
    </r>
    <r>
      <rPr>
        <sz val="10"/>
        <color theme="1"/>
        <rFont val="Calibri"/>
        <family val="2"/>
      </rPr>
      <t>€</t>
    </r>
  </si>
  <si>
    <t>2. Dampers Italy  type base +                  (VERTICAL STIFFENING WITH THE DAMPERS IN THE PLANE OF THE WALL. Hysteresis wall control of forces in the plane of the wall after the first cracks.)</t>
  </si>
  <si>
    <t>3. Dampers Italy  type base ++                   (VERTICAL STIFFENING WITH THE DAMPERS IN THE PLANE OF THE WALL. Hysteresis wall control of forces in the plane of the wall after the first cracks.)</t>
  </si>
  <si>
    <r>
      <t>per m</t>
    </r>
    <r>
      <rPr>
        <b/>
        <i/>
        <vertAlign val="superscript"/>
        <sz val="11"/>
        <color theme="1"/>
        <rFont val="Calibri"/>
        <family val="2"/>
        <scheme val="minor"/>
      </rPr>
      <t>2</t>
    </r>
  </si>
  <si>
    <t>4.  “S” ANCHOR ELEMENT WITH COMPENSATED SHRINKAGE (HORIZONTAL OR VERTICAL PRESTRESSING WITH COMPENSATED SHRINKAGE. Even after shortening of elements due to shrinkage or cracking, compensator retains the force and hysteresis behavior. After the force decrease in tie/anchor retains the force and hysteresis control.)</t>
  </si>
  <si>
    <t xml:space="preserve">5. THE DIAGONAL CONNECTOR WITH DAMPER.                                                                    (It connects the wall to the wall, walls to arched construction or horizontal surface elements and controls their hysteresis behavior before and after the formation of cracks.) </t>
  </si>
  <si>
    <t xml:space="preserve">6. ANCHOR CONNECTOR WITH DAMPER. (Connects wall to column for forces perpendicular to the plane of the wall or conetcts floor slabs to the wall and controls their hysteresis behavior.) </t>
  </si>
  <si>
    <t>7. Reinforcement ф=25 + connection material.</t>
  </si>
  <si>
    <t xml:space="preserve">8. Steel elements, dimensions (20x25 mm, 30x35mm.  and 30x50mm) +connection material </t>
  </si>
  <si>
    <t>9. Cutting in vertical and askance slits in the walls of the object, dimension: 12,0 x 8,0 cm diagonal, for bracing and vertical prestressing</t>
  </si>
  <si>
    <r>
      <t>m</t>
    </r>
    <r>
      <rPr>
        <b/>
        <vertAlign val="superscript"/>
        <sz val="10"/>
        <color theme="1"/>
        <rFont val="Calibri"/>
        <family val="2"/>
        <scheme val="minor"/>
      </rPr>
      <t>1</t>
    </r>
  </si>
  <si>
    <t>12. cracks and fissures</t>
  </si>
  <si>
    <r>
      <t>m</t>
    </r>
    <r>
      <rPr>
        <b/>
        <vertAlign val="superscript"/>
        <sz val="10"/>
        <color theme="1"/>
        <rFont val="Calibri"/>
        <family val="2"/>
        <scheme val="minor"/>
      </rPr>
      <t>2</t>
    </r>
  </si>
  <si>
    <t>11. Stiffness of of the floor slabs in his plane must be provided</t>
  </si>
  <si>
    <r>
      <t>m</t>
    </r>
    <r>
      <rPr>
        <b/>
        <vertAlign val="superscript"/>
        <sz val="10"/>
        <color theme="1"/>
        <rFont val="Calibri"/>
        <family val="2"/>
        <scheme val="minor"/>
      </rPr>
      <t>3</t>
    </r>
  </si>
  <si>
    <t>l</t>
  </si>
  <si>
    <t>total</t>
  </si>
  <si>
    <t>The floor slabs is rigid for force in plane?
Yes = 0, No=1</t>
  </si>
  <si>
    <t>Ceiling construction is rigid for force in plane?
Yes=0, no=1</t>
  </si>
  <si>
    <t>horizontal reinforced concrete beams exist? yes=0, no=1</t>
  </si>
  <si>
    <t>11.Stiffness of of the floor slabs in his plane.</t>
  </si>
  <si>
    <t>11a. Increasing the stiffness of the structure (ceiling), horizontal braces and other</t>
  </si>
  <si>
    <t>17.unforeseen works</t>
  </si>
  <si>
    <t>18. Structural design</t>
  </si>
  <si>
    <t>The first payment, advance payment of 30%.</t>
  </si>
  <si>
    <t>The second payment of 60% for equipment, (after customs clearance of equipment at Belgrade Airport)</t>
  </si>
  <si>
    <t>The second payment of 5% for service coordination and communication (after customs clearance of equipment at Belgrade Airport)</t>
  </si>
  <si>
    <t>The second payment of 5% for consultancy services of Italian engineers (after customs clearance of equipment at Belgrade Airport)</t>
  </si>
  <si>
    <t>Euro</t>
  </si>
  <si>
    <t>TOTAL</t>
  </si>
  <si>
    <t>Delivery time of the equipment is 45 days</t>
  </si>
  <si>
    <t>Payment methods:</t>
  </si>
  <si>
    <t>1. INSTRUCTIONS FOR INCOMING PAYMENTS IN FAVOR OF CLIENTS OF RAIFFEISEN BANKA AD, BEOGRAD, RZBSRSBG, RS35265100000000095596, LIST OF MAIN EUR CORRESPONDENTS :Raiffeisen Bank International AG, Vienna  SWIFT/BIC RZBAATWW</t>
  </si>
  <si>
    <t>EARETHQUAKE ENGINEERING INNOVATION CENTER BELGRADE</t>
  </si>
  <si>
    <t>Tel:+381 11 852 6655, www.dc90.co.rs, email: dc90@eunet.rs</t>
  </si>
  <si>
    <t xml:space="preserve">The Center is registered in the Ministry of Science of the Republic  Serbia under no. 110-00-118 / 2006-01  Research in Sciences, Activity Code 7219 </t>
  </si>
  <si>
    <t>Account with institution: RZBSRSBG, RAIFFEISEN BANKA AD BEOGRAD, RS RS35265100000000095596,RZBAATWW</t>
  </si>
  <si>
    <t>correspondents: Raiffeisen Bank International AG, Vienna   Austria RZBAATWW</t>
  </si>
  <si>
    <t>Director: Dragan Obrenovic, economists, international marketing</t>
  </si>
  <si>
    <t>2. PAY PAL Raiffeisen BANK Business VISA Electron 4054 7906 5588 6979</t>
  </si>
  <si>
    <t>CONCEPTUAL DESIGN</t>
  </si>
  <si>
    <t>1.TECHNICAL DESCRIPTION</t>
  </si>
  <si>
    <t>2.FACADES WITH ELEMENTS OF THE SYSTEM DC90</t>
  </si>
  <si>
    <t>3.CALCULATION OF LINKS (SAP)</t>
  </si>
  <si>
    <t>4.DETAILS:</t>
  </si>
  <si>
    <t>5.RECOMMENDATIONS ITALIAN EXPERIENCE</t>
  </si>
  <si>
    <t>6.ANNEXES:</t>
  </si>
  <si>
    <t>PHOTOS:</t>
  </si>
  <si>
    <t>FIVE BASIC ELEMENTS</t>
  </si>
  <si>
    <t>ADVANCED DYNAMIC ANALYSIS GOCEVSKI, MONTREAL</t>
  </si>
  <si>
    <t>APPLICATION OF THE SYSTEM IN HISTORIC BUILDINGS</t>
  </si>
  <si>
    <t>A CALCULATION EXAMPLE (SAP)</t>
  </si>
  <si>
    <t>THE CONTENT</t>
  </si>
  <si>
    <t>Anchoring of elements is done using anchors filled by cement emulsion with concrete additives (super-plastificators and other).</t>
  </si>
  <si>
    <t xml:space="preserve">Design is done using European norms EC8 and Italian norms: </t>
  </si>
  <si>
    <t>1.TECHNICAL DESCRIPTION OF STRUCTURE STRENGTHENING</t>
  </si>
  <si>
    <t xml:space="preserve">Forms of vertical stiffening are shown on dispositional drawings. </t>
  </si>
  <si>
    <t>Vertical stiffening consists of verticals and diagonals with absorber of seismic energy.</t>
  </si>
  <si>
    <t xml:space="preserve">The strengthening is made of connected horizontal and vertical stiffening. </t>
  </si>
  <si>
    <t xml:space="preserve">Vertical stiffening are anchored in existing foundation.  </t>
  </si>
  <si>
    <t>Тechnology еxecution</t>
  </si>
  <si>
    <t>Execution of the technology consists from the following processes:</t>
  </si>
  <si>
    <t>1. Acquisition and control of all materials and elements.</t>
  </si>
  <si>
    <t>2. Acquisition and control of processing equipment.</t>
  </si>
  <si>
    <t>3. Control of specialists’ ability.</t>
  </si>
  <si>
    <t>4. Control of protection at work and protection equipment.</t>
  </si>
  <si>
    <t>5. Marking at the object.</t>
  </si>
  <si>
    <t>6. Cutting and drilling with cleaning.</t>
  </si>
  <si>
    <t>7. Mounting of steel elements and welding.</t>
  </si>
  <si>
    <t>8. Concreting and injecting.</t>
  </si>
  <si>
    <t>9. Finishing of damaged façade elements, walls, floors and ceilings.</t>
  </si>
  <si>
    <t>10. Cleaning and barren driving away.</t>
  </si>
  <si>
    <t>Full wall</t>
  </si>
  <si>
    <t>d=</t>
  </si>
  <si>
    <t>H=</t>
  </si>
  <si>
    <t xml:space="preserve"> wall with openings</t>
  </si>
  <si>
    <t>%</t>
  </si>
  <si>
    <t>Diagonal with damper italy base</t>
  </si>
  <si>
    <t>L of diagonal</t>
  </si>
  <si>
    <t>b (mm)</t>
  </si>
  <si>
    <t>d (mm)</t>
  </si>
  <si>
    <t>cross section of diaonal:</t>
  </si>
  <si>
    <t>n1</t>
  </si>
  <si>
    <t>n2</t>
  </si>
  <si>
    <t>n3</t>
  </si>
  <si>
    <t>n4</t>
  </si>
  <si>
    <t>D1</t>
  </si>
  <si>
    <t>D2</t>
  </si>
  <si>
    <t>D3</t>
  </si>
  <si>
    <t>D4</t>
  </si>
  <si>
    <t>K=</t>
  </si>
  <si>
    <t>nagib (0)</t>
  </si>
  <si>
    <t>a) The Purchaser shall submit photos of all walls (external and internal)</t>
  </si>
  <si>
    <t>b) System DC90 proposed position for the system DC90</t>
  </si>
  <si>
    <t>c) Italian designer determines the position of elements of DC90.</t>
  </si>
  <si>
    <t>P= (kN)</t>
  </si>
  <si>
    <t>-</t>
  </si>
  <si>
    <t>Smederevski put 67, 11307 Ritopek, Belgrade, Serbia, 
Director: Dragan Obrenovic, econom, internat. Marketing</t>
  </si>
  <si>
    <t xml:space="preserve">Smederevski put 67, 11307 Ritopek, Belgrade, Serbia, </t>
  </si>
  <si>
    <t>Stiffness (link diagonal dumpers)</t>
  </si>
  <si>
    <t>Damper in Wall</t>
  </si>
  <si>
    <t>Type Italy base</t>
  </si>
  <si>
    <t>dl1</t>
  </si>
  <si>
    <t>dl2</t>
  </si>
  <si>
    <t>K</t>
  </si>
  <si>
    <t>diagonal length (cm)</t>
  </si>
  <si>
    <t>diagonal surface (cm2)</t>
  </si>
  <si>
    <t>force in the Dampers (kN)</t>
  </si>
  <si>
    <t>STIFFNESS K (kN / m)</t>
  </si>
  <si>
    <t>Tyoe Italy base +</t>
  </si>
  <si>
    <t>type Italy base ++</t>
  </si>
  <si>
    <t>Damper connector</t>
  </si>
  <si>
    <r>
      <t>·</t>
    </r>
    <r>
      <rPr>
        <b/>
        <sz val="7"/>
        <color rgb="FF222222"/>
        <rFont val="Calibri"/>
        <family val="2"/>
        <scheme val="minor"/>
      </rPr>
      <t xml:space="preserve">         </t>
    </r>
    <r>
      <rPr>
        <b/>
        <sz val="12"/>
        <color rgb="FF222222"/>
        <rFont val="Calibri"/>
        <family val="2"/>
        <scheme val="minor"/>
      </rPr>
      <t>Full wall</t>
    </r>
  </si>
  <si>
    <r>
      <t>·</t>
    </r>
    <r>
      <rPr>
        <b/>
        <sz val="7"/>
        <color rgb="FF222222"/>
        <rFont val="Calibri"/>
        <family val="2"/>
        <scheme val="minor"/>
      </rPr>
      <t xml:space="preserve">         </t>
    </r>
    <r>
      <rPr>
        <b/>
        <sz val="12"/>
        <color rgb="FF222222"/>
        <rFont val="Calibri"/>
        <family val="2"/>
        <scheme val="minor"/>
      </rPr>
      <t>A wall with openings</t>
    </r>
  </si>
  <si>
    <r>
      <t>·</t>
    </r>
    <r>
      <rPr>
        <b/>
        <sz val="7"/>
        <color rgb="FF222222"/>
        <rFont val="Calibri"/>
        <family val="2"/>
        <scheme val="minor"/>
      </rPr>
      <t xml:space="preserve">         </t>
    </r>
    <r>
      <rPr>
        <b/>
        <sz val="12"/>
        <color rgb="FF222222"/>
        <rFont val="Calibri"/>
        <family val="2"/>
        <scheme val="minor"/>
      </rPr>
      <t>Diagonal with damper italy base</t>
    </r>
  </si>
  <si>
    <r>
      <t>·</t>
    </r>
    <r>
      <rPr>
        <b/>
        <sz val="7"/>
        <color rgb="FF222222"/>
        <rFont val="Calibri"/>
        <family val="2"/>
        <scheme val="minor"/>
      </rPr>
      <t xml:space="preserve">         </t>
    </r>
    <r>
      <rPr>
        <b/>
        <sz val="12"/>
        <color rgb="FF222222"/>
        <rFont val="Calibri"/>
        <family val="2"/>
        <scheme val="minor"/>
      </rPr>
      <t>Diagonal with damper italy base +</t>
    </r>
  </si>
  <si>
    <r>
      <t>·</t>
    </r>
    <r>
      <rPr>
        <b/>
        <sz val="7"/>
        <color rgb="FF222222"/>
        <rFont val="Calibri"/>
        <family val="2"/>
        <scheme val="minor"/>
      </rPr>
      <t xml:space="preserve">         </t>
    </r>
    <r>
      <rPr>
        <b/>
        <sz val="12"/>
        <color rgb="FF222222"/>
        <rFont val="Calibri"/>
        <family val="2"/>
        <scheme val="minor"/>
      </rPr>
      <t>Diagonal with damper italy base ++</t>
    </r>
  </si>
  <si>
    <r>
      <t>·      </t>
    </r>
    <r>
      <rPr>
        <b/>
        <sz val="7"/>
        <color rgb="FF222222"/>
        <rFont val="Calibri"/>
        <family val="2"/>
        <scheme val="minor"/>
      </rPr>
      <t xml:space="preserve">   </t>
    </r>
    <r>
      <rPr>
        <b/>
        <sz val="12"/>
        <color rgb="FF222222"/>
        <rFont val="Calibri"/>
        <family val="2"/>
        <scheme val="minor"/>
      </rPr>
      <t>Full wall</t>
    </r>
  </si>
  <si>
    <r>
      <t>·</t>
    </r>
    <r>
      <rPr>
        <b/>
        <sz val="7"/>
        <color rgb="FF222222"/>
        <rFont val="Calibri"/>
        <family val="2"/>
        <scheme val="minor"/>
      </rPr>
      <t xml:space="preserve">         </t>
    </r>
    <r>
      <rPr>
        <b/>
        <sz val="12"/>
        <color rgb="FF222222"/>
        <rFont val="Calibri"/>
        <family val="2"/>
        <scheme val="minor"/>
      </rPr>
      <t>Anker</t>
    </r>
  </si>
  <si>
    <r>
      <t>·</t>
    </r>
    <r>
      <rPr>
        <b/>
        <sz val="7"/>
        <color rgb="FF222222"/>
        <rFont val="Calibri"/>
        <family val="2"/>
        <scheme val="minor"/>
      </rPr>
      <t xml:space="preserve">         </t>
    </r>
    <r>
      <rPr>
        <b/>
        <sz val="12"/>
        <color rgb="FF222222"/>
        <rFont val="Calibri"/>
        <family val="2"/>
        <scheme val="minor"/>
      </rPr>
      <t>Node vertical stiffeners elements</t>
    </r>
  </si>
  <si>
    <r>
      <t>·</t>
    </r>
    <r>
      <rPr>
        <b/>
        <sz val="7"/>
        <color rgb="FF222222"/>
        <rFont val="Calibri"/>
        <family val="2"/>
        <scheme val="minor"/>
      </rPr>
      <t xml:space="preserve">         </t>
    </r>
    <r>
      <rPr>
        <b/>
        <sz val="12"/>
        <color rgb="FF222222"/>
        <rFont val="Calibri"/>
        <family val="2"/>
        <scheme val="minor"/>
      </rPr>
      <t>Connections wall- floor structure</t>
    </r>
  </si>
  <si>
    <r>
      <t>·</t>
    </r>
    <r>
      <rPr>
        <b/>
        <sz val="7"/>
        <color rgb="FF222222"/>
        <rFont val="Calibri"/>
        <family val="2"/>
        <scheme val="minor"/>
      </rPr>
      <t xml:space="preserve">         </t>
    </r>
    <r>
      <rPr>
        <b/>
        <sz val="12"/>
        <color rgb="FF222222"/>
        <rFont val="Calibri"/>
        <family val="2"/>
        <scheme val="minor"/>
      </rPr>
      <t>strengthening the pillars</t>
    </r>
  </si>
  <si>
    <r>
      <t>·</t>
    </r>
    <r>
      <rPr>
        <b/>
        <sz val="7"/>
        <color rgb="FF222222"/>
        <rFont val="Calibri"/>
        <family val="2"/>
        <scheme val="minor"/>
      </rPr>
      <t xml:space="preserve">         </t>
    </r>
    <r>
      <rPr>
        <b/>
        <sz val="12"/>
        <color rgb="FF222222"/>
        <rFont val="Calibri"/>
        <family val="2"/>
        <scheme val="minor"/>
      </rPr>
      <t>Strengthening floor slabs</t>
    </r>
  </si>
  <si>
    <r>
      <t>·</t>
    </r>
    <r>
      <rPr>
        <b/>
        <sz val="7"/>
        <color rgb="FF222222"/>
        <rFont val="Calibri"/>
        <family val="2"/>
        <scheme val="minor"/>
      </rPr>
      <t xml:space="preserve">         </t>
    </r>
    <r>
      <rPr>
        <b/>
        <sz val="12"/>
        <color rgb="FF222222"/>
        <rFont val="Calibri"/>
        <family val="2"/>
        <scheme val="minor"/>
      </rPr>
      <t>strengthening the foundations</t>
    </r>
  </si>
  <si>
    <r>
      <t>·</t>
    </r>
    <r>
      <rPr>
        <b/>
        <sz val="7"/>
        <color rgb="FF222222"/>
        <rFont val="Calibri"/>
        <family val="2"/>
        <scheme val="minor"/>
      </rPr>
      <t xml:space="preserve">         </t>
    </r>
    <r>
      <rPr>
        <b/>
        <sz val="12"/>
        <color rgb="FF222222"/>
        <rFont val="Calibri"/>
        <family val="2"/>
        <scheme val="minor"/>
      </rPr>
      <t>A typical vertical stiffeners</t>
    </r>
  </si>
  <si>
    <r>
      <t>·</t>
    </r>
    <r>
      <rPr>
        <b/>
        <sz val="7"/>
        <color rgb="FF222222"/>
        <rFont val="Calibri"/>
        <family val="2"/>
        <scheme val="minor"/>
      </rPr>
      <t xml:space="preserve">         </t>
    </r>
    <r>
      <rPr>
        <b/>
        <sz val="12"/>
        <color rgb="FF222222"/>
        <rFont val="Calibri"/>
        <family val="2"/>
        <scheme val="minor"/>
      </rPr>
      <t>Dumpers</t>
    </r>
  </si>
  <si>
    <t>Wall (narrow and high))</t>
  </si>
  <si>
    <t>ZID</t>
  </si>
  <si>
    <t>dz</t>
  </si>
  <si>
    <t>h</t>
  </si>
  <si>
    <t>b</t>
  </si>
  <si>
    <t>F</t>
  </si>
  <si>
    <t>alfa</t>
  </si>
  <si>
    <t>G</t>
  </si>
  <si>
    <t>G/E</t>
  </si>
  <si>
    <t>E</t>
  </si>
  <si>
    <t>delta</t>
  </si>
  <si>
    <t>Llink</t>
  </si>
  <si>
    <t>Klink</t>
  </si>
  <si>
    <t>Hu</t>
  </si>
  <si>
    <t>Su</t>
  </si>
  <si>
    <t>weight</t>
  </si>
  <si>
    <t>masa</t>
  </si>
  <si>
    <t>X11</t>
  </si>
  <si>
    <t>X12</t>
  </si>
  <si>
    <t>X21</t>
  </si>
  <si>
    <t>X22</t>
  </si>
  <si>
    <t>X3</t>
  </si>
  <si>
    <t>X4</t>
  </si>
  <si>
    <t>X51</t>
  </si>
  <si>
    <t>X52</t>
  </si>
  <si>
    <t xml:space="preserve">X61 </t>
  </si>
  <si>
    <t xml:space="preserve">X62 </t>
  </si>
  <si>
    <t>Y1</t>
  </si>
  <si>
    <t>Y2</t>
  </si>
  <si>
    <t>Y3</t>
  </si>
  <si>
    <t>Y4</t>
  </si>
  <si>
    <t>wall</t>
  </si>
  <si>
    <t>X6</t>
  </si>
  <si>
    <t>A</t>
  </si>
  <si>
    <t>M</t>
  </si>
  <si>
    <t>DAMPER</t>
  </si>
  <si>
    <t>zid</t>
  </si>
  <si>
    <t>*</t>
  </si>
  <si>
    <t>k*</t>
  </si>
  <si>
    <t>k</t>
  </si>
  <si>
    <t>kN</t>
  </si>
  <si>
    <t>H</t>
  </si>
  <si>
    <t>fmax</t>
  </si>
  <si>
    <t>od krova</t>
  </si>
  <si>
    <t>zidovi</t>
  </si>
  <si>
    <t>horizontalni s</t>
  </si>
  <si>
    <t>vertikalni s</t>
  </si>
  <si>
    <t>pregradni zidovi</t>
  </si>
  <si>
    <t>stepeniste</t>
  </si>
  <si>
    <t>povremeno</t>
  </si>
  <si>
    <t>x</t>
  </si>
  <si>
    <t>c</t>
  </si>
  <si>
    <t>gama</t>
  </si>
  <si>
    <t>y1</t>
  </si>
  <si>
    <t>y2</t>
  </si>
  <si>
    <t>Wall with openings</t>
  </si>
  <si>
    <t>X61</t>
  </si>
  <si>
    <t>Y5</t>
  </si>
  <si>
    <t>par</t>
  </si>
  <si>
    <t>wall with openings novi E i G</t>
  </si>
  <si>
    <r>
      <t>EXIT</t>
    </r>
    <r>
      <rPr>
        <b/>
        <sz val="11"/>
        <color rgb="FFFFFFFF"/>
        <rFont val="Calibri"/>
        <family val="2"/>
        <scheme val="minor"/>
      </rPr>
      <t xml:space="preserve"> </t>
    </r>
  </si>
  <si>
    <t>date:</t>
  </si>
  <si>
    <r>
      <t>Weight of of facade walls,  (g=20kN/m</t>
    </r>
    <r>
      <rPr>
        <b/>
        <i/>
        <vertAlign val="superscript"/>
        <sz val="10"/>
        <color rgb="FF222222"/>
        <rFont val="Calibri"/>
        <family val="2"/>
        <scheme val="minor"/>
      </rPr>
      <t>2</t>
    </r>
    <r>
      <rPr>
        <b/>
        <i/>
        <sz val="10"/>
        <color rgb="FF222222"/>
        <rFont val="Calibri"/>
        <family val="2"/>
        <scheme val="minor"/>
      </rPr>
      <t>)</t>
    </r>
  </si>
  <si>
    <r>
      <t>Weight of the partition wall, (g=20kN/m</t>
    </r>
    <r>
      <rPr>
        <b/>
        <i/>
        <vertAlign val="superscript"/>
        <sz val="10"/>
        <color rgb="FF222222"/>
        <rFont val="Calibri"/>
        <family val="2"/>
        <scheme val="minor"/>
      </rPr>
      <t>2</t>
    </r>
    <r>
      <rPr>
        <b/>
        <i/>
        <sz val="10"/>
        <color rgb="FF222222"/>
        <rFont val="Calibri"/>
        <family val="2"/>
        <scheme val="minor"/>
      </rPr>
      <t>)</t>
    </r>
  </si>
  <si>
    <t>CONCEPTUAL DESIGN.pdf</t>
  </si>
  <si>
    <t>INSTRUCTIONS FOR EXECUTION OF WORKS.pdf</t>
  </si>
  <si>
    <r>
      <t>1.</t>
    </r>
    <r>
      <rPr>
        <b/>
        <sz val="11"/>
        <color theme="0"/>
        <rFont val="Calibri"/>
        <family val="2"/>
        <charset val="238"/>
        <scheme val="minor"/>
      </rPr>
      <t xml:space="preserve"> Dampers Italy  type base   </t>
    </r>
    <r>
      <rPr>
        <sz val="11"/>
        <color theme="0"/>
        <rFont val="Calibri"/>
        <family val="2"/>
        <charset val="238"/>
        <scheme val="minor"/>
      </rPr>
      <t xml:space="preserve">                (VERTICAL STIFFENING WITH THE DAMPERS IN THE PLANE OF THE WALL. Hysteresis wall control of forces in the plane of the wall after the first cracks.)</t>
    </r>
  </si>
  <si>
    <r>
      <rPr>
        <b/>
        <sz val="11"/>
        <color theme="0"/>
        <rFont val="Calibri"/>
        <family val="2"/>
        <charset val="238"/>
        <scheme val="minor"/>
      </rPr>
      <t xml:space="preserve">2. Dampers Italy  type base + </t>
    </r>
    <r>
      <rPr>
        <sz val="11"/>
        <color theme="0"/>
        <rFont val="Calibri"/>
        <family val="2"/>
        <charset val="238"/>
        <scheme val="minor"/>
      </rPr>
      <t xml:space="preserve">                 (VERTICAL STIFFENING WITH THE DAMPERS IN THE PLANE OF THE WALL. Hysteresis wall control of forces in the plane of the wall after the first cracks.)</t>
    </r>
  </si>
  <si>
    <r>
      <rPr>
        <b/>
        <sz val="11"/>
        <color theme="0"/>
        <rFont val="Calibri"/>
        <family val="2"/>
        <charset val="238"/>
        <scheme val="minor"/>
      </rPr>
      <t xml:space="preserve">3. Dampers Italy  type base ++  </t>
    </r>
    <r>
      <rPr>
        <sz val="11"/>
        <color theme="0"/>
        <rFont val="Calibri"/>
        <family val="2"/>
        <charset val="238"/>
        <scheme val="minor"/>
      </rPr>
      <t xml:space="preserve">                 (VERTICAL STIFFENING WITH THE DAMPERS IN THE PLANE OF THE WALL. Hysteresis wall control of forces in the plane of the wall after the first cracks.)</t>
    </r>
  </si>
  <si>
    <r>
      <rPr>
        <b/>
        <sz val="11"/>
        <color theme="0"/>
        <rFont val="Times New Roman"/>
        <family val="1"/>
        <charset val="238"/>
      </rPr>
      <t>4.  “S” ANCHOR ELEMENT WITH COMPENSATED SHRINKAGE (</t>
    </r>
    <r>
      <rPr>
        <sz val="11"/>
        <color theme="0"/>
        <rFont val="Times New Roman"/>
        <family val="1"/>
        <charset val="238"/>
      </rPr>
      <t>HORIZONTAL OR VERTICAL PRESTRESSING</t>
    </r>
    <r>
      <rPr>
        <b/>
        <sz val="11"/>
        <color theme="0"/>
        <rFont val="Times New Roman"/>
        <family val="1"/>
        <charset val="238"/>
      </rPr>
      <t xml:space="preserve"> </t>
    </r>
    <r>
      <rPr>
        <sz val="11"/>
        <color theme="0"/>
        <rFont val="Times New Roman"/>
        <family val="1"/>
        <charset val="238"/>
      </rPr>
      <t>WITH COMPENSATED SHRINKAGE. Even after shortening of elements due to shrinkage or cracking, compensator retains the force and hysteresis behavior. After the force decrease in tie/anchor retains the force and hysteresis control.)</t>
    </r>
  </si>
  <si>
    <r>
      <t xml:space="preserve">5. </t>
    </r>
    <r>
      <rPr>
        <b/>
        <sz val="11"/>
        <color theme="0"/>
        <rFont val="Calibri"/>
        <family val="2"/>
        <charset val="238"/>
        <scheme val="minor"/>
      </rPr>
      <t xml:space="preserve">THE DIAGONAL CONNECTOR WITH DAMPER.  </t>
    </r>
    <r>
      <rPr>
        <sz val="11"/>
        <color theme="0"/>
        <rFont val="Calibri"/>
        <family val="2"/>
        <charset val="238"/>
        <scheme val="minor"/>
      </rPr>
      <t xml:space="preserve">                                                                  (It connects the wall to the wall, walls to arched construction or horizontal surface elements and controls their hysteresis behavior before and after the formation of cracks.) </t>
    </r>
  </si>
  <si>
    <r>
      <t>6.</t>
    </r>
    <r>
      <rPr>
        <b/>
        <sz val="11"/>
        <color theme="0"/>
        <rFont val="Calibri"/>
        <family val="2"/>
        <charset val="238"/>
        <scheme val="minor"/>
      </rPr>
      <t xml:space="preserve"> ANCHOR CONNECTOR WITH DAMPER</t>
    </r>
    <r>
      <rPr>
        <sz val="11"/>
        <color theme="0"/>
        <rFont val="Calibri"/>
        <family val="2"/>
        <charset val="238"/>
        <scheme val="minor"/>
      </rPr>
      <t xml:space="preserve">. (Connects wall to column for forces perpendicular to the plane of the wall or conetcts floor slabs to the wall and controls their hysteresis behavior.) </t>
    </r>
  </si>
  <si>
    <r>
      <t>·</t>
    </r>
    <r>
      <rPr>
        <sz val="7"/>
        <color theme="0"/>
        <rFont val="Times New Roman"/>
        <family val="1"/>
        <charset val="238"/>
      </rPr>
      <t xml:space="preserve">         </t>
    </r>
    <r>
      <rPr>
        <sz val="12"/>
        <color theme="0"/>
        <rFont val="Times New Roman"/>
        <family val="1"/>
        <charset val="238"/>
      </rPr>
      <t>Full wall</t>
    </r>
  </si>
  <si>
    <r>
      <t>·</t>
    </r>
    <r>
      <rPr>
        <sz val="7"/>
        <color theme="0"/>
        <rFont val="Times New Roman"/>
        <family val="1"/>
        <charset val="238"/>
      </rPr>
      <t xml:space="preserve">         </t>
    </r>
    <r>
      <rPr>
        <sz val="12"/>
        <color theme="0"/>
        <rFont val="Times New Roman"/>
        <family val="1"/>
        <charset val="238"/>
      </rPr>
      <t>A wall with openings</t>
    </r>
  </si>
  <si>
    <r>
      <t>·</t>
    </r>
    <r>
      <rPr>
        <sz val="7"/>
        <color theme="0"/>
        <rFont val="Times New Roman"/>
        <family val="1"/>
        <charset val="238"/>
      </rPr>
      <t xml:space="preserve">         </t>
    </r>
    <r>
      <rPr>
        <sz val="12"/>
        <color theme="0"/>
        <rFont val="Times New Roman"/>
        <family val="1"/>
        <charset val="238"/>
      </rPr>
      <t>Diagonal with damper italy base</t>
    </r>
  </si>
  <si>
    <r>
      <t>·</t>
    </r>
    <r>
      <rPr>
        <sz val="7"/>
        <color theme="0"/>
        <rFont val="Times New Roman"/>
        <family val="1"/>
        <charset val="238"/>
      </rPr>
      <t xml:space="preserve">         </t>
    </r>
    <r>
      <rPr>
        <sz val="12"/>
        <color theme="0"/>
        <rFont val="Times New Roman"/>
        <family val="1"/>
        <charset val="238"/>
      </rPr>
      <t>Diagonal with damper italy base +</t>
    </r>
  </si>
  <si>
    <r>
      <t>·</t>
    </r>
    <r>
      <rPr>
        <sz val="7"/>
        <color theme="0"/>
        <rFont val="Times New Roman"/>
        <family val="1"/>
        <charset val="238"/>
      </rPr>
      <t xml:space="preserve">         </t>
    </r>
    <r>
      <rPr>
        <sz val="12"/>
        <color theme="0"/>
        <rFont val="Times New Roman"/>
        <family val="1"/>
        <charset val="238"/>
      </rPr>
      <t>Diagonal with damper italy base ++</t>
    </r>
  </si>
  <si>
    <r>
      <t>·</t>
    </r>
    <r>
      <rPr>
        <sz val="7"/>
        <color theme="0"/>
        <rFont val="Times New Roman"/>
        <family val="1"/>
        <charset val="238"/>
      </rPr>
      <t xml:space="preserve">         </t>
    </r>
    <r>
      <rPr>
        <sz val="12"/>
        <color theme="0"/>
        <rFont val="Times New Roman"/>
        <family val="1"/>
        <charset val="238"/>
      </rPr>
      <t>Anker</t>
    </r>
  </si>
  <si>
    <r>
      <t>·</t>
    </r>
    <r>
      <rPr>
        <sz val="7"/>
        <color theme="0"/>
        <rFont val="Times New Roman"/>
        <family val="1"/>
        <charset val="238"/>
      </rPr>
      <t xml:space="preserve">         </t>
    </r>
    <r>
      <rPr>
        <sz val="12"/>
        <color theme="0"/>
        <rFont val="Times New Roman"/>
        <family val="1"/>
        <charset val="238"/>
      </rPr>
      <t>Node vertical stiffeners elements</t>
    </r>
  </si>
  <si>
    <r>
      <t>·</t>
    </r>
    <r>
      <rPr>
        <sz val="7"/>
        <color theme="0"/>
        <rFont val="Times New Roman"/>
        <family val="1"/>
        <charset val="238"/>
      </rPr>
      <t xml:space="preserve">         </t>
    </r>
    <r>
      <rPr>
        <sz val="12"/>
        <color theme="0"/>
        <rFont val="Times New Roman"/>
        <family val="1"/>
        <charset val="238"/>
      </rPr>
      <t>Connections wall- floor structure</t>
    </r>
  </si>
  <si>
    <r>
      <t>·</t>
    </r>
    <r>
      <rPr>
        <sz val="7"/>
        <color theme="0"/>
        <rFont val="Times New Roman"/>
        <family val="1"/>
        <charset val="238"/>
      </rPr>
      <t xml:space="preserve">         </t>
    </r>
    <r>
      <rPr>
        <sz val="12"/>
        <color theme="0"/>
        <rFont val="Times New Roman"/>
        <family val="1"/>
        <charset val="238"/>
      </rPr>
      <t>strengthening the pillars</t>
    </r>
  </si>
  <si>
    <r>
      <t>·</t>
    </r>
    <r>
      <rPr>
        <sz val="7"/>
        <color theme="0"/>
        <rFont val="Times New Roman"/>
        <family val="1"/>
        <charset val="238"/>
      </rPr>
      <t xml:space="preserve">         </t>
    </r>
    <r>
      <rPr>
        <sz val="12"/>
        <color theme="0"/>
        <rFont val="Times New Roman"/>
        <family val="1"/>
        <charset val="238"/>
      </rPr>
      <t>Strengthening floor slabs</t>
    </r>
  </si>
  <si>
    <r>
      <t>·</t>
    </r>
    <r>
      <rPr>
        <sz val="7"/>
        <color theme="0"/>
        <rFont val="Times New Roman"/>
        <family val="1"/>
        <charset val="238"/>
      </rPr>
      <t xml:space="preserve">         </t>
    </r>
    <r>
      <rPr>
        <sz val="12"/>
        <color theme="0"/>
        <rFont val="Times New Roman"/>
        <family val="1"/>
        <charset val="238"/>
      </rPr>
      <t>strengthening the foundations</t>
    </r>
  </si>
  <si>
    <r>
      <t>·</t>
    </r>
    <r>
      <rPr>
        <sz val="7"/>
        <color theme="0"/>
        <rFont val="Times New Roman"/>
        <family val="1"/>
        <charset val="238"/>
      </rPr>
      <t xml:space="preserve">         </t>
    </r>
    <r>
      <rPr>
        <sz val="12"/>
        <color theme="0"/>
        <rFont val="Times New Roman"/>
        <family val="1"/>
        <charset val="238"/>
      </rPr>
      <t>A typical vertical stiffeners</t>
    </r>
  </si>
  <si>
    <r>
      <t>·</t>
    </r>
    <r>
      <rPr>
        <sz val="7"/>
        <color theme="0"/>
        <rFont val="Times New Roman"/>
        <family val="1"/>
        <charset val="238"/>
      </rPr>
      <t xml:space="preserve">         </t>
    </r>
    <r>
      <rPr>
        <sz val="12"/>
        <color theme="0"/>
        <rFont val="Times New Roman"/>
        <family val="1"/>
        <charset val="238"/>
      </rPr>
      <t>Dumpers</t>
    </r>
  </si>
  <si>
    <t>Download certificates only from the site www.dc90.co.rs</t>
  </si>
  <si>
    <t>Download the numerical analysis SAP 2000 
(three basic cases)</t>
  </si>
  <si>
    <t>PDF format only
Download certificates only from the site www.dc90.co.rs 
© SISTEM DC90 (2015) All rights reserved. Confidential and proprietary document.</t>
  </si>
  <si>
    <t>PDF format only</t>
  </si>
  <si>
    <t xml:space="preserve">Download certificates only from the site www.dc90.co.rs </t>
  </si>
  <si>
    <t>© SISTEM DC90 (2015) All rights reserved. Confidential and proprietary document.</t>
  </si>
  <si>
    <t>Offer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</si>
</sst>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D_i_n_._-;\-* #,##0.00\ _D_i_n_._-;_-* &quot;-&quot;??\ _D_i_n_._-;_-@_-"/>
    <numFmt numFmtId="164" formatCode="#,##0.00_ ;\-#,##0.00\ "/>
    <numFmt numFmtId="165" formatCode="#,##0.0_ ;\-#,##0.0\ "/>
    <numFmt numFmtId="166" formatCode="0.0"/>
    <numFmt numFmtId="167" formatCode="mm/dd/yy;@"/>
  </numFmts>
  <fonts count="66" x14ac:knownFonts="1">
    <font>
      <sz val="11"/>
      <color theme="1"/>
      <name val="Calibri"/>
      <family val="2"/>
      <charset val="238"/>
      <scheme val="minor"/>
    </font>
    <font>
      <sz val="11"/>
      <color theme="1"/>
      <name val="Calibri"/>
      <family val="2"/>
      <scheme val="minor"/>
    </font>
    <font>
      <sz val="11"/>
      <color theme="1"/>
      <name val="Calibri"/>
      <family val="2"/>
      <scheme val="minor"/>
    </font>
    <font>
      <b/>
      <sz val="12"/>
      <color theme="1"/>
      <name val="Calibri"/>
      <family val="2"/>
      <scheme val="minor"/>
    </font>
    <font>
      <u/>
      <sz val="11"/>
      <color theme="10"/>
      <name val="Calibri"/>
      <family val="2"/>
      <charset val="238"/>
    </font>
    <font>
      <b/>
      <sz val="14"/>
      <color theme="1"/>
      <name val="Calibri"/>
      <family val="2"/>
      <charset val="238"/>
      <scheme val="minor"/>
    </font>
    <font>
      <sz val="10"/>
      <color theme="1"/>
      <name val="Arial Unicode MS"/>
      <family val="2"/>
    </font>
    <font>
      <vertAlign val="superscript"/>
      <sz val="11"/>
      <color theme="1"/>
      <name val="Calibri"/>
      <family val="2"/>
      <charset val="238"/>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charset val="238"/>
      <scheme val="minor"/>
    </font>
    <font>
      <b/>
      <sz val="12"/>
      <color rgb="FFFF0000"/>
      <name val="Calibri"/>
      <family val="2"/>
      <scheme val="minor"/>
    </font>
    <font>
      <sz val="10"/>
      <color theme="1"/>
      <name val="Calibri"/>
      <family val="2"/>
      <charset val="238"/>
      <scheme val="minor"/>
    </font>
    <font>
      <b/>
      <i/>
      <sz val="9"/>
      <color theme="1"/>
      <name val="Calibri"/>
      <family val="2"/>
      <scheme val="minor"/>
    </font>
    <font>
      <b/>
      <sz val="10"/>
      <color theme="1"/>
      <name val="Calibri"/>
      <family val="2"/>
      <scheme val="minor"/>
    </font>
    <font>
      <sz val="9"/>
      <color theme="1"/>
      <name val="Calibri"/>
      <family val="2"/>
      <charset val="238"/>
      <scheme val="minor"/>
    </font>
    <font>
      <sz val="8"/>
      <color theme="1"/>
      <name val="Calibri"/>
      <family val="2"/>
      <charset val="238"/>
      <scheme val="minor"/>
    </font>
    <font>
      <b/>
      <sz val="8"/>
      <color theme="1"/>
      <name val="Calibri"/>
      <family val="2"/>
      <scheme val="minor"/>
    </font>
    <font>
      <b/>
      <sz val="9"/>
      <color theme="1"/>
      <name val="Calibri"/>
      <family val="2"/>
      <scheme val="minor"/>
    </font>
    <font>
      <sz val="9"/>
      <color theme="1"/>
      <name val="Arial Unicode MS"/>
      <family val="2"/>
    </font>
    <font>
      <b/>
      <sz val="11"/>
      <name val="Calibri"/>
      <family val="2"/>
      <scheme val="minor"/>
    </font>
    <font>
      <b/>
      <sz val="10"/>
      <color theme="1"/>
      <name val="Calibri"/>
      <family val="2"/>
    </font>
    <font>
      <sz val="10"/>
      <color theme="1"/>
      <name val="Calibri"/>
      <family val="2"/>
      <scheme val="minor"/>
    </font>
    <font>
      <sz val="10"/>
      <color theme="1"/>
      <name val="Calibri"/>
      <family val="2"/>
    </font>
    <font>
      <sz val="10"/>
      <color theme="1"/>
      <name val="Symbol"/>
      <family val="1"/>
      <charset val="2"/>
    </font>
    <font>
      <b/>
      <i/>
      <vertAlign val="superscript"/>
      <sz val="11"/>
      <color theme="1"/>
      <name val="Calibri"/>
      <family val="2"/>
      <scheme val="minor"/>
    </font>
    <font>
      <b/>
      <vertAlign val="superscript"/>
      <sz val="10"/>
      <color theme="1"/>
      <name val="Calibri"/>
      <family val="2"/>
      <scheme val="minor"/>
    </font>
    <font>
      <b/>
      <sz val="11"/>
      <color theme="1"/>
      <name val="Calibri"/>
      <family val="2"/>
      <charset val="238"/>
      <scheme val="minor"/>
    </font>
    <font>
      <b/>
      <i/>
      <sz val="10"/>
      <color rgb="FF222222"/>
      <name val="Calibri"/>
      <family val="2"/>
      <scheme val="minor"/>
    </font>
    <font>
      <b/>
      <i/>
      <vertAlign val="superscript"/>
      <sz val="10"/>
      <color rgb="FF222222"/>
      <name val="Calibri"/>
      <family val="2"/>
      <scheme val="minor"/>
    </font>
    <font>
      <b/>
      <sz val="11"/>
      <color theme="1"/>
      <name val="Symbol"/>
      <family val="1"/>
      <charset val="2"/>
    </font>
    <font>
      <sz val="11"/>
      <name val="Calibri"/>
      <family val="2"/>
      <charset val="238"/>
      <scheme val="minor"/>
    </font>
    <font>
      <b/>
      <u/>
      <sz val="11"/>
      <color rgb="FFFF0000"/>
      <name val="Calibri"/>
      <family val="2"/>
      <charset val="238"/>
    </font>
    <font>
      <sz val="9"/>
      <color rgb="FF222222"/>
      <name val="Arial"/>
      <family val="2"/>
      <charset val="238"/>
    </font>
    <font>
      <b/>
      <sz val="10"/>
      <color theme="1"/>
      <name val="Arial"/>
      <family val="2"/>
      <charset val="238"/>
    </font>
    <font>
      <b/>
      <sz val="14"/>
      <color theme="1"/>
      <name val="Calibri"/>
      <family val="2"/>
      <scheme val="minor"/>
    </font>
    <font>
      <b/>
      <sz val="12"/>
      <color theme="1"/>
      <name val="Calibri"/>
      <family val="2"/>
    </font>
    <font>
      <b/>
      <sz val="14"/>
      <color rgb="FF222222"/>
      <name val="Calibri"/>
      <family val="2"/>
      <scheme val="minor"/>
    </font>
    <font>
      <sz val="11"/>
      <name val="Calibri"/>
      <family val="2"/>
      <scheme val="minor"/>
    </font>
    <font>
      <b/>
      <sz val="12"/>
      <color rgb="FF222222"/>
      <name val="Calibri"/>
      <family val="2"/>
      <scheme val="minor"/>
    </font>
    <font>
      <sz val="12"/>
      <color rgb="FF222222"/>
      <name val="Calibri"/>
      <family val="2"/>
      <scheme val="minor"/>
    </font>
    <font>
      <b/>
      <sz val="12"/>
      <name val="Calibri"/>
      <family val="2"/>
      <scheme val="minor"/>
    </font>
    <font>
      <sz val="12"/>
      <name val="Calibri"/>
      <family val="2"/>
      <scheme val="minor"/>
    </font>
    <font>
      <b/>
      <sz val="7"/>
      <color rgb="FF222222"/>
      <name val="Calibri"/>
      <family val="2"/>
      <scheme val="minor"/>
    </font>
    <font>
      <sz val="16"/>
      <name val="Arial"/>
      <family val="2"/>
    </font>
    <font>
      <sz val="10"/>
      <name val="Arial"/>
      <family val="2"/>
    </font>
    <font>
      <sz val="20"/>
      <name val="Arial"/>
      <family val="2"/>
    </font>
    <font>
      <sz val="14"/>
      <name val="Arial"/>
      <family val="2"/>
    </font>
    <font>
      <b/>
      <sz val="12"/>
      <color rgb="FFFFFFFF"/>
      <name val="Calibri"/>
      <family val="2"/>
      <scheme val="minor"/>
    </font>
    <font>
      <b/>
      <sz val="11"/>
      <color rgb="FFFFFFFF"/>
      <name val="Calibri"/>
      <family val="2"/>
      <scheme val="minor"/>
    </font>
    <font>
      <b/>
      <sz val="11"/>
      <color theme="0"/>
      <name val="Calibri"/>
      <family val="2"/>
      <charset val="238"/>
      <scheme val="minor"/>
    </font>
    <font>
      <sz val="11"/>
      <color theme="0"/>
      <name val="Calibri"/>
      <family val="2"/>
      <charset val="238"/>
      <scheme val="minor"/>
    </font>
    <font>
      <sz val="12"/>
      <color theme="0"/>
      <name val="Arial"/>
      <family val="2"/>
      <charset val="238"/>
    </font>
    <font>
      <sz val="11"/>
      <color theme="0"/>
      <name val="Times New Roman"/>
      <family val="1"/>
      <charset val="238"/>
    </font>
    <font>
      <b/>
      <sz val="11"/>
      <color theme="0"/>
      <name val="Times New Roman"/>
      <family val="1"/>
      <charset val="238"/>
    </font>
    <font>
      <b/>
      <sz val="12"/>
      <color theme="0"/>
      <name val="Calibri"/>
      <family val="2"/>
      <charset val="238"/>
      <scheme val="minor"/>
    </font>
    <font>
      <b/>
      <sz val="28"/>
      <color theme="0"/>
      <name val="Times New Roman"/>
      <family val="1"/>
      <charset val="238"/>
    </font>
    <font>
      <b/>
      <sz val="12"/>
      <color theme="0"/>
      <name val="Times New Roman"/>
      <family val="1"/>
      <charset val="238"/>
    </font>
    <font>
      <sz val="12"/>
      <color theme="0"/>
      <name val="Symbol"/>
      <family val="1"/>
      <charset val="2"/>
    </font>
    <font>
      <sz val="7"/>
      <color theme="0"/>
      <name val="Times New Roman"/>
      <family val="1"/>
      <charset val="238"/>
    </font>
    <font>
      <sz val="12"/>
      <color theme="0"/>
      <name val="Times New Roman"/>
      <family val="1"/>
      <charset val="238"/>
    </font>
    <font>
      <sz val="12"/>
      <color theme="0"/>
      <name val="Calibri"/>
      <family val="2"/>
      <charset val="238"/>
      <scheme val="minor"/>
    </font>
    <font>
      <b/>
      <u/>
      <sz val="11"/>
      <color theme="10"/>
      <name val="Calibri"/>
      <family val="2"/>
    </font>
    <font>
      <b/>
      <u/>
      <sz val="10"/>
      <color rgb="FFFF0000"/>
      <name val="Calibri"/>
      <family val="2"/>
      <charset val="238"/>
    </font>
    <font>
      <b/>
      <sz val="10"/>
      <color rgb="FF222222"/>
      <name val="Calibri"/>
      <family val="2"/>
      <scheme val="minor"/>
    </font>
  </fonts>
  <fills count="25">
    <fill>
      <patternFill patternType="none"/>
    </fill>
    <fill>
      <patternFill patternType="gray125"/>
    </fill>
    <fill>
      <patternFill patternType="solid">
        <fgColor theme="9"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59999389629810485"/>
        <bgColor theme="4" tint="0.59999389629810485"/>
      </patternFill>
    </fill>
    <fill>
      <patternFill patternType="solid">
        <fgColor theme="8" tint="0.59999389629810485"/>
        <bgColor indexed="64"/>
      </patternFill>
    </fill>
    <fill>
      <patternFill patternType="solid">
        <fgColor theme="2"/>
        <bgColor indexed="64"/>
      </patternFill>
    </fill>
    <fill>
      <patternFill patternType="solid">
        <fgColor theme="2"/>
        <bgColor theme="4" tint="0.79998168889431442"/>
      </patternFill>
    </fill>
    <fill>
      <patternFill patternType="solid">
        <fgColor theme="5" tint="0.39997558519241921"/>
        <bgColor indexed="64"/>
      </patternFill>
    </fill>
    <fill>
      <patternFill patternType="solid">
        <fgColor theme="6" tint="0.39997558519241921"/>
        <bgColor indexed="64"/>
      </patternFill>
    </fill>
    <fill>
      <patternFill patternType="solid">
        <fgColor theme="5" tint="0.79998168889431442"/>
        <bgColor theme="4" tint="0.59999389629810485"/>
      </patternFill>
    </fill>
    <fill>
      <patternFill patternType="solid">
        <fgColor rgb="FFFFFF00"/>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rgb="FF00FF00"/>
        <bgColor indexed="64"/>
      </patternFill>
    </fill>
    <fill>
      <patternFill patternType="solid">
        <fgColor rgb="FF00FF00"/>
        <bgColor theme="4" tint="0.59999389629810485"/>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3">
    <xf numFmtId="0" fontId="0" fillId="0" borderId="0"/>
    <xf numFmtId="0" fontId="4" fillId="0" borderId="0" applyNumberFormat="0" applyFill="0" applyBorder="0" applyAlignment="0" applyProtection="0">
      <alignment vertical="top"/>
      <protection locked="0"/>
    </xf>
    <xf numFmtId="43" fontId="11" fillId="0" borderId="0" applyFont="0" applyFill="0" applyBorder="0" applyAlignment="0" applyProtection="0"/>
  </cellStyleXfs>
  <cellXfs count="296">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horizontal="left"/>
    </xf>
    <xf numFmtId="0" fontId="0" fillId="0" borderId="0" xfId="0" applyFill="1"/>
    <xf numFmtId="0" fontId="3" fillId="4" borderId="0" xfId="0" applyFont="1" applyFill="1" applyBorder="1"/>
    <xf numFmtId="0" fontId="8" fillId="4" borderId="0" xfId="0" applyFont="1" applyFill="1"/>
    <xf numFmtId="0" fontId="9" fillId="0" borderId="0" xfId="0" applyFont="1" applyAlignment="1">
      <alignment horizontal="right" vertical="center"/>
    </xf>
    <xf numFmtId="0" fontId="9" fillId="0" borderId="0" xfId="0" applyFont="1" applyBorder="1" applyAlignment="1">
      <alignment horizontal="right" vertical="center"/>
    </xf>
    <xf numFmtId="0" fontId="10" fillId="0" borderId="0" xfId="0" applyFont="1" applyAlignment="1">
      <alignment horizontal="right" vertical="center"/>
    </xf>
    <xf numFmtId="0" fontId="10" fillId="0" borderId="0" xfId="0" applyFont="1"/>
    <xf numFmtId="0" fontId="0" fillId="0" borderId="0" xfId="0" applyAlignment="1">
      <alignment horizontal="left"/>
    </xf>
    <xf numFmtId="0" fontId="0" fillId="0" borderId="0" xfId="0" applyAlignment="1">
      <alignment horizontal="center" vertical="center" wrapText="1"/>
    </xf>
    <xf numFmtId="0" fontId="3" fillId="4" borderId="0" xfId="0" applyFont="1" applyFill="1"/>
    <xf numFmtId="0" fontId="13" fillId="0" borderId="0" xfId="0" applyFont="1"/>
    <xf numFmtId="0" fontId="17" fillId="0" borderId="0" xfId="0" applyFont="1"/>
    <xf numFmtId="0" fontId="19" fillId="0" borderId="0" xfId="0" applyFont="1"/>
    <xf numFmtId="0" fontId="9" fillId="0" borderId="0" xfId="0" applyFont="1" applyAlignment="1">
      <alignment vertical="center"/>
    </xf>
    <xf numFmtId="0" fontId="20" fillId="5" borderId="0" xfId="0" applyFont="1" applyFill="1" applyAlignment="1">
      <alignment horizontal="center" vertical="center"/>
    </xf>
    <xf numFmtId="0" fontId="8" fillId="3" borderId="0" xfId="0" applyFont="1" applyFill="1"/>
    <xf numFmtId="0" fontId="0" fillId="0" borderId="0" xfId="0" applyFill="1" applyBorder="1"/>
    <xf numFmtId="0" fontId="0" fillId="0" borderId="0" xfId="0" applyFill="1" applyAlignment="1"/>
    <xf numFmtId="0" fontId="1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2" fillId="0" borderId="0" xfId="0" applyFont="1" applyFill="1" applyAlignment="1">
      <alignment horizontal="center" vertical="center"/>
    </xf>
    <xf numFmtId="2" fontId="15" fillId="0" borderId="0" xfId="0" applyNumberFormat="1" applyFont="1"/>
    <xf numFmtId="164" fontId="15" fillId="0" borderId="0" xfId="0" applyNumberFormat="1" applyFont="1"/>
    <xf numFmtId="0" fontId="23" fillId="5" borderId="0" xfId="0" applyFont="1" applyFill="1" applyAlignment="1">
      <alignment horizontal="center" vertical="center"/>
    </xf>
    <xf numFmtId="0" fontId="16" fillId="0" borderId="0" xfId="0" applyFont="1" applyFill="1" applyAlignment="1">
      <alignment horizontal="center" vertical="center"/>
    </xf>
    <xf numFmtId="0" fontId="14" fillId="0" borderId="0" xfId="0" applyFont="1" applyAlignment="1">
      <alignment vertical="center"/>
    </xf>
    <xf numFmtId="0" fontId="24" fillId="0" borderId="0" xfId="0" applyFont="1" applyFill="1" applyAlignment="1">
      <alignment horizontal="center" vertical="center"/>
    </xf>
    <xf numFmtId="0" fontId="2" fillId="0" borderId="0" xfId="0" applyFont="1" applyAlignment="1"/>
    <xf numFmtId="0" fontId="9" fillId="0" borderId="0" xfId="0" applyFont="1" applyAlignment="1">
      <alignment horizontal="right"/>
    </xf>
    <xf numFmtId="0" fontId="15" fillId="6" borderId="0" xfId="0" applyNumberFormat="1" applyFont="1" applyFill="1" applyBorder="1" applyAlignment="1"/>
    <xf numFmtId="0" fontId="0" fillId="12" borderId="0" xfId="0" applyNumberFormat="1" applyFill="1" applyAlignment="1"/>
    <xf numFmtId="0" fontId="19" fillId="12" borderId="7" xfId="0" applyNumberFormat="1" applyFont="1" applyFill="1" applyBorder="1" applyAlignment="1"/>
    <xf numFmtId="0" fontId="19" fillId="13" borderId="8" xfId="0" applyNumberFormat="1" applyFont="1" applyFill="1" applyBorder="1"/>
    <xf numFmtId="0" fontId="17" fillId="12" borderId="0" xfId="0" applyNumberFormat="1" applyFont="1" applyFill="1" applyBorder="1" applyAlignment="1"/>
    <xf numFmtId="2" fontId="15" fillId="6" borderId="0" xfId="0" applyNumberFormat="1" applyFont="1" applyFill="1" applyBorder="1" applyAlignment="1"/>
    <xf numFmtId="2" fontId="19" fillId="12" borderId="7" xfId="0" applyNumberFormat="1" applyFont="1" applyFill="1" applyBorder="1" applyAlignment="1"/>
    <xf numFmtId="2" fontId="19" fillId="13" borderId="8" xfId="0" applyNumberFormat="1" applyFont="1" applyFill="1" applyBorder="1"/>
    <xf numFmtId="2" fontId="0" fillId="12" borderId="0" xfId="0" applyNumberFormat="1" applyFill="1" applyAlignment="1"/>
    <xf numFmtId="2" fontId="17" fillId="12" borderId="0" xfId="0" applyNumberFormat="1" applyFont="1" applyFill="1" applyBorder="1" applyAlignment="1"/>
    <xf numFmtId="0" fontId="0" fillId="12" borderId="0" xfId="0" applyFill="1"/>
    <xf numFmtId="0" fontId="15" fillId="12" borderId="0" xfId="0" applyNumberFormat="1" applyFont="1" applyFill="1" applyBorder="1" applyAlignment="1"/>
    <xf numFmtId="2" fontId="15" fillId="12" borderId="0" xfId="0" applyNumberFormat="1" applyFont="1" applyFill="1" applyBorder="1" applyAlignment="1"/>
    <xf numFmtId="0" fontId="15" fillId="16" borderId="0" xfId="0" applyNumberFormat="1" applyFont="1" applyFill="1"/>
    <xf numFmtId="2" fontId="15" fillId="16" borderId="0" xfId="0" applyNumberFormat="1" applyFont="1" applyFill="1"/>
    <xf numFmtId="0" fontId="23" fillId="12" borderId="0" xfId="0" applyNumberFormat="1" applyFont="1" applyFill="1" applyAlignment="1"/>
    <xf numFmtId="2" fontId="23" fillId="12" borderId="0" xfId="0" applyNumberFormat="1" applyFont="1" applyFill="1" applyAlignment="1"/>
    <xf numFmtId="0" fontId="23" fillId="12" borderId="0" xfId="0" applyNumberFormat="1" applyFont="1" applyFill="1" applyBorder="1" applyAlignment="1"/>
    <xf numFmtId="2" fontId="23" fillId="12" borderId="0" xfId="0" applyNumberFormat="1" applyFont="1" applyFill="1" applyBorder="1" applyAlignment="1"/>
    <xf numFmtId="0" fontId="15" fillId="10" borderId="7" xfId="0" applyNumberFormat="1" applyFont="1" applyFill="1" applyBorder="1" applyAlignment="1"/>
    <xf numFmtId="2" fontId="15" fillId="10" borderId="7" xfId="0" applyNumberFormat="1" applyFont="1" applyFill="1" applyBorder="1" applyAlignment="1"/>
    <xf numFmtId="0" fontId="15" fillId="13" borderId="8" xfId="0" applyNumberFormat="1" applyFont="1" applyFill="1" applyBorder="1"/>
    <xf numFmtId="0" fontId="15" fillId="10" borderId="9" xfId="0" applyNumberFormat="1" applyFont="1" applyFill="1" applyBorder="1" applyAlignment="1"/>
    <xf numFmtId="2" fontId="15" fillId="10" borderId="9" xfId="0" applyNumberFormat="1" applyFont="1" applyFill="1" applyBorder="1" applyAlignment="1"/>
    <xf numFmtId="2" fontId="0" fillId="0" borderId="0" xfId="0" applyNumberFormat="1"/>
    <xf numFmtId="0" fontId="18" fillId="0" borderId="0" xfId="0" applyNumberFormat="1" applyFont="1" applyFill="1" applyBorder="1" applyAlignment="1">
      <alignment horizontal="right" vertical="center"/>
    </xf>
    <xf numFmtId="0" fontId="18" fillId="0" borderId="0" xfId="0" applyNumberFormat="1" applyFont="1" applyFill="1" applyBorder="1"/>
    <xf numFmtId="0" fontId="16" fillId="0" borderId="0" xfId="0" applyFont="1"/>
    <xf numFmtId="2" fontId="15" fillId="7" borderId="0" xfId="0" applyNumberFormat="1" applyFont="1" applyFill="1" applyBorder="1"/>
    <xf numFmtId="2" fontId="15" fillId="6" borderId="0" xfId="0" applyNumberFormat="1" applyFont="1" applyFill="1" applyBorder="1"/>
    <xf numFmtId="0" fontId="15" fillId="6" borderId="0" xfId="0" applyFont="1" applyFill="1" applyBorder="1" applyAlignment="1">
      <alignment horizontal="right" vertical="center"/>
    </xf>
    <xf numFmtId="2" fontId="15" fillId="12" borderId="0" xfId="0" applyNumberFormat="1" applyFont="1" applyFill="1" applyBorder="1"/>
    <xf numFmtId="0" fontId="15" fillId="7" borderId="0" xfId="0" applyFont="1" applyFill="1" applyBorder="1" applyAlignment="1">
      <alignment vertical="center" wrapText="1"/>
    </xf>
    <xf numFmtId="2" fontId="15" fillId="7" borderId="0" xfId="0" applyNumberFormat="1" applyFont="1" applyFill="1" applyBorder="1" applyAlignment="1">
      <alignment vertical="center" wrapText="1"/>
    </xf>
    <xf numFmtId="0" fontId="29" fillId="0" borderId="0" xfId="0" applyFont="1" applyFill="1"/>
    <xf numFmtId="0" fontId="29" fillId="0" borderId="0" xfId="0" applyFont="1"/>
    <xf numFmtId="2" fontId="15" fillId="6" borderId="0" xfId="0" applyNumberFormat="1" applyFont="1" applyFill="1" applyBorder="1" applyProtection="1">
      <protection locked="0"/>
    </xf>
    <xf numFmtId="2" fontId="15" fillId="15" borderId="0" xfId="0" applyNumberFormat="1" applyFont="1" applyFill="1" applyBorder="1" applyProtection="1">
      <protection locked="0"/>
    </xf>
    <xf numFmtId="0" fontId="15" fillId="6" borderId="0" xfId="0" applyFont="1" applyFill="1" applyBorder="1" applyAlignment="1" applyProtection="1">
      <alignment horizontal="right" vertical="center"/>
    </xf>
    <xf numFmtId="2" fontId="15" fillId="6" borderId="0" xfId="0" applyNumberFormat="1" applyFont="1" applyFill="1" applyBorder="1" applyProtection="1"/>
    <xf numFmtId="0" fontId="23" fillId="12" borderId="0" xfId="0" applyNumberFormat="1" applyFont="1" applyFill="1" applyAlignment="1" applyProtection="1"/>
    <xf numFmtId="2" fontId="15" fillId="12" borderId="0" xfId="0" applyNumberFormat="1" applyFont="1" applyFill="1" applyBorder="1" applyProtection="1"/>
    <xf numFmtId="0" fontId="15" fillId="11" borderId="0" xfId="0" applyNumberFormat="1" applyFont="1" applyFill="1" applyBorder="1" applyAlignment="1" applyProtection="1"/>
    <xf numFmtId="2" fontId="15" fillId="11" borderId="0" xfId="0" applyNumberFormat="1" applyFont="1" applyFill="1" applyBorder="1" applyAlignment="1" applyProtection="1"/>
    <xf numFmtId="0" fontId="15" fillId="15" borderId="7" xfId="0" applyNumberFormat="1" applyFont="1" applyFill="1" applyBorder="1" applyAlignment="1" applyProtection="1"/>
    <xf numFmtId="2" fontId="15" fillId="15" borderId="7" xfId="0" applyNumberFormat="1" applyFont="1" applyFill="1" applyBorder="1" applyAlignment="1" applyProtection="1"/>
    <xf numFmtId="2" fontId="15" fillId="15" borderId="0" xfId="0" applyNumberFormat="1" applyFont="1" applyFill="1" applyBorder="1" applyProtection="1"/>
    <xf numFmtId="0" fontId="15" fillId="7" borderId="0" xfId="0" applyFont="1" applyFill="1" applyBorder="1" applyAlignment="1" applyProtection="1">
      <alignment vertical="center" wrapText="1"/>
    </xf>
    <xf numFmtId="2" fontId="15" fillId="7" borderId="0" xfId="0" applyNumberFormat="1" applyFont="1" applyFill="1" applyBorder="1" applyAlignment="1" applyProtection="1">
      <alignment vertical="center" wrapText="1"/>
    </xf>
    <xf numFmtId="2" fontId="15" fillId="7" borderId="0" xfId="0" applyNumberFormat="1" applyFont="1" applyFill="1" applyBorder="1" applyProtection="1"/>
    <xf numFmtId="2" fontId="15" fillId="16" borderId="0" xfId="0" applyNumberFormat="1" applyFont="1" applyFill="1" applyProtection="1">
      <protection locked="0"/>
    </xf>
    <xf numFmtId="2" fontId="15" fillId="14" borderId="0" xfId="0" applyNumberFormat="1" applyFont="1" applyFill="1" applyBorder="1" applyProtection="1">
      <protection locked="0"/>
    </xf>
    <xf numFmtId="2" fontId="8" fillId="0" borderId="0" xfId="0" applyNumberFormat="1" applyFont="1" applyFill="1"/>
    <xf numFmtId="0" fontId="31" fillId="12" borderId="0" xfId="0" applyFont="1" applyFill="1" applyAlignment="1">
      <alignment horizontal="right"/>
    </xf>
    <xf numFmtId="0" fontId="32" fillId="0" borderId="0" xfId="0" applyFont="1"/>
    <xf numFmtId="0" fontId="34" fillId="0" borderId="0" xfId="0" applyFont="1" applyAlignment="1">
      <alignment horizontal="left" vertical="center"/>
    </xf>
    <xf numFmtId="0" fontId="0" fillId="2" borderId="0" xfId="0" applyFill="1" applyBorder="1"/>
    <xf numFmtId="2" fontId="15" fillId="2" borderId="0" xfId="0" applyNumberFormat="1" applyFont="1" applyFill="1" applyBorder="1"/>
    <xf numFmtId="0" fontId="8" fillId="0" borderId="0" xfId="0" applyFont="1" applyAlignment="1">
      <alignment horizontal="center" vertical="center"/>
    </xf>
    <xf numFmtId="0" fontId="37" fillId="0" borderId="0" xfId="0" applyFont="1" applyAlignment="1">
      <alignment horizontal="center" vertical="center"/>
    </xf>
    <xf numFmtId="0" fontId="8" fillId="0" borderId="0" xfId="0" applyFont="1" applyAlignment="1">
      <alignment horizontal="center"/>
    </xf>
    <xf numFmtId="0" fontId="28" fillId="0" borderId="0" xfId="0" applyFont="1" applyFill="1"/>
    <xf numFmtId="2" fontId="3" fillId="0" borderId="0" xfId="0" applyNumberFormat="1" applyFont="1" applyFill="1"/>
    <xf numFmtId="165" fontId="8" fillId="4" borderId="0" xfId="0" applyNumberFormat="1" applyFont="1" applyFill="1" applyAlignment="1">
      <alignment vertical="center"/>
    </xf>
    <xf numFmtId="4" fontId="8" fillId="4" borderId="0" xfId="0" applyNumberFormat="1" applyFont="1" applyFill="1" applyAlignment="1">
      <alignment vertical="center"/>
    </xf>
    <xf numFmtId="0" fontId="0" fillId="0" borderId="1" xfId="0" applyBorder="1"/>
    <xf numFmtId="0" fontId="8" fillId="0" borderId="0" xfId="0" applyFont="1"/>
    <xf numFmtId="0" fontId="1" fillId="0" borderId="0" xfId="0" applyFont="1"/>
    <xf numFmtId="0" fontId="39" fillId="0" borderId="0" xfId="0" applyFont="1"/>
    <xf numFmtId="0" fontId="40" fillId="0" borderId="0" xfId="0" applyFont="1" applyAlignment="1">
      <alignment horizontal="left" vertical="center"/>
    </xf>
    <xf numFmtId="0" fontId="39" fillId="0" borderId="0" xfId="0" applyFont="1" applyFill="1"/>
    <xf numFmtId="166" fontId="8" fillId="0" borderId="0" xfId="0" applyNumberFormat="1" applyFont="1" applyBorder="1"/>
    <xf numFmtId="0" fontId="40" fillId="0" borderId="0" xfId="0" applyFont="1" applyAlignment="1">
      <alignment vertical="center" wrapText="1"/>
    </xf>
    <xf numFmtId="0" fontId="40" fillId="0" borderId="0" xfId="0" applyFont="1" applyBorder="1" applyAlignment="1">
      <alignment horizontal="left" vertical="center"/>
    </xf>
    <xf numFmtId="0" fontId="39" fillId="0" borderId="0" xfId="0" applyFont="1" applyFill="1" applyBorder="1"/>
    <xf numFmtId="0" fontId="41" fillId="0" borderId="0" xfId="0" applyFont="1" applyBorder="1" applyAlignment="1">
      <alignment horizontal="left" vertical="center" indent="5"/>
    </xf>
    <xf numFmtId="0" fontId="39" fillId="0" borderId="0" xfId="0" applyFont="1" applyFill="1" applyBorder="1" applyAlignment="1"/>
    <xf numFmtId="0" fontId="43" fillId="0" borderId="0" xfId="0" applyFont="1" applyBorder="1" applyAlignment="1">
      <alignment horizontal="left" vertical="center" wrapText="1"/>
    </xf>
    <xf numFmtId="0" fontId="43" fillId="0" borderId="0" xfId="0" applyFont="1" applyBorder="1" applyAlignment="1">
      <alignment vertical="center"/>
    </xf>
    <xf numFmtId="0" fontId="39" fillId="0" borderId="0" xfId="0" applyFont="1" applyFill="1" applyBorder="1" applyAlignment="1">
      <alignment wrapText="1"/>
    </xf>
    <xf numFmtId="0" fontId="0" fillId="20" borderId="1" xfId="0" applyFill="1" applyBorder="1"/>
    <xf numFmtId="0" fontId="0" fillId="21" borderId="1" xfId="0" applyFill="1" applyBorder="1"/>
    <xf numFmtId="0" fontId="0" fillId="22" borderId="1" xfId="0" applyFill="1" applyBorder="1"/>
    <xf numFmtId="0" fontId="46" fillId="0" borderId="1" xfId="0" applyFont="1" applyBorder="1"/>
    <xf numFmtId="0" fontId="0" fillId="17" borderId="1" xfId="0" applyFill="1" applyBorder="1"/>
    <xf numFmtId="0" fontId="0" fillId="0" borderId="22" xfId="0" applyBorder="1"/>
    <xf numFmtId="2" fontId="0" fillId="0" borderId="1" xfId="0" applyNumberFormat="1" applyBorder="1"/>
    <xf numFmtId="0" fontId="0" fillId="0" borderId="0" xfId="0" applyAlignment="1">
      <alignment horizontal="center"/>
    </xf>
    <xf numFmtId="0" fontId="0" fillId="3" borderId="1" xfId="0" applyFill="1" applyBorder="1"/>
    <xf numFmtId="0" fontId="0" fillId="0" borderId="1" xfId="0" applyFill="1" applyBorder="1"/>
    <xf numFmtId="0" fontId="46" fillId="0" borderId="1" xfId="0" applyFont="1" applyFill="1" applyBorder="1"/>
    <xf numFmtId="0" fontId="46" fillId="3" borderId="1" xfId="0" applyFont="1" applyFill="1" applyBorder="1"/>
    <xf numFmtId="0" fontId="8" fillId="0" borderId="1" xfId="0" applyFont="1" applyBorder="1"/>
    <xf numFmtId="0" fontId="8" fillId="0" borderId="21" xfId="0" applyFont="1" applyBorder="1"/>
    <xf numFmtId="0" fontId="8" fillId="0" borderId="0" xfId="0" applyFont="1" applyFill="1" applyBorder="1"/>
    <xf numFmtId="0" fontId="8" fillId="0" borderId="0" xfId="0" applyFont="1" applyBorder="1"/>
    <xf numFmtId="0" fontId="8" fillId="0" borderId="24" xfId="0" applyFont="1" applyBorder="1"/>
    <xf numFmtId="166" fontId="8" fillId="0" borderId="23" xfId="0" applyNumberFormat="1" applyFont="1" applyBorder="1"/>
    <xf numFmtId="0" fontId="8" fillId="0" borderId="25" xfId="0" applyFont="1" applyBorder="1" applyAlignment="1">
      <alignment wrapText="1"/>
    </xf>
    <xf numFmtId="0" fontId="8" fillId="0" borderId="26" xfId="0" applyFont="1" applyBorder="1" applyAlignment="1">
      <alignment wrapText="1"/>
    </xf>
    <xf numFmtId="166" fontId="8" fillId="0" borderId="27" xfId="0" applyNumberFormat="1" applyFont="1" applyBorder="1"/>
    <xf numFmtId="0" fontId="8" fillId="0" borderId="28" xfId="0" applyFont="1" applyBorder="1"/>
    <xf numFmtId="0" fontId="49" fillId="0" borderId="0" xfId="0" applyFont="1" applyAlignment="1">
      <alignment horizontal="center"/>
    </xf>
    <xf numFmtId="0" fontId="42"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42" fillId="0" borderId="0" xfId="0" applyFont="1" applyFill="1" applyAlignment="1">
      <alignment vertical="center" wrapText="1"/>
    </xf>
    <xf numFmtId="0" fontId="42" fillId="0" borderId="0" xfId="0" applyFont="1" applyFill="1" applyAlignment="1">
      <alignment wrapText="1"/>
    </xf>
    <xf numFmtId="0" fontId="1" fillId="0" borderId="0" xfId="0" applyFont="1" applyAlignment="1">
      <alignment horizontal="left"/>
    </xf>
    <xf numFmtId="0" fontId="39" fillId="0" borderId="0" xfId="0" applyFont="1" applyAlignment="1">
      <alignment horizontal="left"/>
    </xf>
    <xf numFmtId="0" fontId="32" fillId="0" borderId="0" xfId="0" applyFont="1" applyAlignment="1">
      <alignment horizontal="left"/>
    </xf>
    <xf numFmtId="0" fontId="39" fillId="0" borderId="0" xfId="0" applyFont="1" applyFill="1" applyAlignment="1">
      <alignment horizontal="left"/>
    </xf>
    <xf numFmtId="0" fontId="43" fillId="0" borderId="0" xfId="0" applyFont="1" applyFill="1" applyAlignment="1">
      <alignment horizontal="left"/>
    </xf>
    <xf numFmtId="0" fontId="35" fillId="0" borderId="0" xfId="0" applyFont="1" applyFill="1" applyAlignment="1">
      <alignment horizontal="center" vertical="center"/>
    </xf>
    <xf numFmtId="0" fontId="8" fillId="0" borderId="33" xfId="0" applyFont="1" applyBorder="1"/>
    <xf numFmtId="0" fontId="8" fillId="0" borderId="34" xfId="0" applyFont="1" applyBorder="1"/>
    <xf numFmtId="0" fontId="8" fillId="0" borderId="29" xfId="0" applyFont="1" applyFill="1" applyBorder="1"/>
    <xf numFmtId="0" fontId="8" fillId="0" borderId="35" xfId="0" applyFont="1" applyBorder="1"/>
    <xf numFmtId="0" fontId="8" fillId="0" borderId="30" xfId="0" applyFont="1" applyBorder="1"/>
    <xf numFmtId="0" fontId="8" fillId="0" borderId="31" xfId="0" applyFont="1" applyBorder="1"/>
    <xf numFmtId="0" fontId="8" fillId="0" borderId="32" xfId="0" applyFont="1" applyBorder="1"/>
    <xf numFmtId="0" fontId="8" fillId="0" borderId="10" xfId="0" applyFont="1" applyBorder="1" applyAlignment="1">
      <alignment horizontal="center" vertical="center"/>
    </xf>
    <xf numFmtId="0" fontId="8" fillId="0" borderId="36" xfId="0" applyFont="1" applyBorder="1" applyAlignment="1">
      <alignment horizontal="center" vertical="center"/>
    </xf>
    <xf numFmtId="166" fontId="8" fillId="0" borderId="32" xfId="0" applyNumberFormat="1" applyFont="1" applyBorder="1"/>
    <xf numFmtId="166" fontId="8" fillId="0" borderId="36" xfId="0" applyNumberFormat="1" applyFont="1" applyBorder="1" applyAlignment="1">
      <alignment horizontal="center" vertical="center"/>
    </xf>
    <xf numFmtId="2" fontId="8" fillId="0" borderId="29" xfId="0" applyNumberFormat="1" applyFont="1" applyBorder="1"/>
    <xf numFmtId="0" fontId="8" fillId="23" borderId="1" xfId="0" applyFont="1" applyFill="1" applyBorder="1" applyProtection="1">
      <protection locked="0"/>
    </xf>
    <xf numFmtId="0" fontId="52" fillId="0" borderId="1" xfId="0" applyFont="1" applyFill="1" applyBorder="1"/>
    <xf numFmtId="0" fontId="52" fillId="0" borderId="0" xfId="0" applyFont="1" applyFill="1"/>
    <xf numFmtId="2" fontId="52" fillId="0" borderId="1" xfId="0" applyNumberFormat="1" applyFont="1" applyFill="1" applyBorder="1"/>
    <xf numFmtId="0" fontId="52" fillId="0" borderId="10" xfId="0" applyFont="1" applyFill="1" applyBorder="1" applyAlignment="1">
      <alignment wrapText="1"/>
    </xf>
    <xf numFmtId="0" fontId="52" fillId="0" borderId="10" xfId="0" applyFont="1" applyFill="1" applyBorder="1"/>
    <xf numFmtId="43" fontId="52" fillId="0" borderId="10" xfId="2" applyFont="1" applyFill="1" applyBorder="1"/>
    <xf numFmtId="0" fontId="52" fillId="0" borderId="1" xfId="0" applyFont="1" applyFill="1" applyBorder="1" applyAlignment="1">
      <alignment wrapText="1"/>
    </xf>
    <xf numFmtId="43" fontId="52" fillId="0" borderId="1" xfId="2" applyFont="1" applyFill="1" applyBorder="1"/>
    <xf numFmtId="0" fontId="54" fillId="0" borderId="0" xfId="0" applyFont="1" applyFill="1" applyAlignment="1">
      <alignment horizontal="justify" vertical="center"/>
    </xf>
    <xf numFmtId="0" fontId="52" fillId="0" borderId="1" xfId="0" applyFont="1" applyFill="1" applyBorder="1" applyAlignment="1">
      <alignment horizontal="left" wrapText="1"/>
    </xf>
    <xf numFmtId="0" fontId="52" fillId="0" borderId="2" xfId="0" applyFont="1" applyFill="1" applyBorder="1" applyAlignment="1">
      <alignment horizontal="left" wrapText="1"/>
    </xf>
    <xf numFmtId="0" fontId="52" fillId="0" borderId="2" xfId="0" applyFont="1" applyFill="1" applyBorder="1"/>
    <xf numFmtId="0" fontId="52" fillId="0" borderId="2" xfId="0" applyFont="1" applyFill="1" applyBorder="1" applyAlignment="1">
      <alignment wrapText="1"/>
    </xf>
    <xf numFmtId="43" fontId="52" fillId="0" borderId="2" xfId="2" applyFont="1" applyFill="1" applyBorder="1"/>
    <xf numFmtId="0" fontId="52" fillId="0" borderId="3" xfId="0" applyFont="1" applyFill="1" applyBorder="1" applyAlignment="1">
      <alignment horizontal="left" wrapText="1"/>
    </xf>
    <xf numFmtId="0" fontId="52" fillId="0" borderId="4" xfId="0" applyFont="1" applyFill="1" applyBorder="1"/>
    <xf numFmtId="43" fontId="56" fillId="0" borderId="5" xfId="2" applyFont="1" applyFill="1" applyBorder="1"/>
    <xf numFmtId="43" fontId="56" fillId="0" borderId="6" xfId="2" applyFont="1" applyFill="1" applyBorder="1"/>
    <xf numFmtId="0" fontId="52" fillId="0" borderId="0" xfId="0" applyFont="1" applyFill="1" applyBorder="1" applyAlignment="1">
      <alignment wrapText="1"/>
    </xf>
    <xf numFmtId="43" fontId="52" fillId="0" borderId="0" xfId="0" applyNumberFormat="1" applyFont="1" applyFill="1"/>
    <xf numFmtId="0" fontId="52" fillId="0" borderId="0" xfId="0" applyFont="1" applyFill="1" applyAlignment="1"/>
    <xf numFmtId="0" fontId="52" fillId="0" borderId="0" xfId="0" applyFont="1" applyFill="1" applyAlignment="1">
      <alignment wrapText="1"/>
    </xf>
    <xf numFmtId="0" fontId="61" fillId="0" borderId="0" xfId="0" applyFont="1" applyFill="1"/>
    <xf numFmtId="0" fontId="62" fillId="0" borderId="0" xfId="0" applyFont="1" applyFill="1"/>
    <xf numFmtId="0" fontId="58" fillId="0" borderId="11" xfId="0" applyFont="1" applyFill="1" applyBorder="1"/>
    <xf numFmtId="0" fontId="52" fillId="0" borderId="12" xfId="0" applyFont="1" applyFill="1" applyBorder="1"/>
    <xf numFmtId="0" fontId="52" fillId="0" borderId="13" xfId="0" applyFont="1" applyFill="1" applyBorder="1"/>
    <xf numFmtId="0" fontId="61" fillId="0" borderId="10" xfId="0" applyFont="1" applyFill="1" applyBorder="1"/>
    <xf numFmtId="0" fontId="61" fillId="0" borderId="2" xfId="0" applyFont="1" applyFill="1" applyBorder="1"/>
    <xf numFmtId="0" fontId="61" fillId="0" borderId="14" xfId="0" applyFont="1" applyFill="1" applyBorder="1"/>
    <xf numFmtId="0" fontId="52" fillId="0" borderId="15" xfId="0" applyFont="1" applyFill="1" applyBorder="1"/>
    <xf numFmtId="0" fontId="52" fillId="0" borderId="16" xfId="0" applyFont="1" applyFill="1" applyBorder="1"/>
    <xf numFmtId="0" fontId="61" fillId="0" borderId="1" xfId="0" applyFont="1" applyFill="1" applyBorder="1"/>
    <xf numFmtId="0" fontId="52" fillId="0" borderId="14" xfId="0" applyFont="1" applyFill="1" applyBorder="1"/>
    <xf numFmtId="0" fontId="52" fillId="0" borderId="11" xfId="0" applyFont="1" applyFill="1" applyBorder="1"/>
    <xf numFmtId="0" fontId="53" fillId="0" borderId="1" xfId="0" applyFont="1" applyFill="1" applyBorder="1" applyAlignment="1">
      <alignment vertical="center" wrapText="1"/>
    </xf>
    <xf numFmtId="4" fontId="52" fillId="0" borderId="1" xfId="0" applyNumberFormat="1" applyFont="1" applyFill="1" applyBorder="1"/>
    <xf numFmtId="0" fontId="57" fillId="0" borderId="0" xfId="0" applyFont="1" applyFill="1" applyAlignment="1">
      <alignment horizontal="left" vertical="center"/>
    </xf>
    <xf numFmtId="0" fontId="58" fillId="0" borderId="0" xfId="0" applyFont="1" applyFill="1" applyAlignment="1">
      <alignment horizontal="left" vertical="center"/>
    </xf>
    <xf numFmtId="0" fontId="59" fillId="0" borderId="0" xfId="0" applyFont="1" applyFill="1" applyAlignment="1">
      <alignment horizontal="left" vertical="center" indent="5"/>
    </xf>
    <xf numFmtId="0" fontId="61" fillId="0" borderId="0" xfId="0" applyFont="1" applyFill="1" applyAlignment="1">
      <alignment horizontal="left" vertical="center" indent="5"/>
    </xf>
    <xf numFmtId="0" fontId="61" fillId="0" borderId="0" xfId="0" applyFont="1" applyFill="1" applyAlignment="1">
      <alignment horizontal="left" vertical="center" indent="2"/>
    </xf>
    <xf numFmtId="0" fontId="59" fillId="0" borderId="0" xfId="0" applyFont="1" applyFill="1" applyAlignment="1">
      <alignment horizontal="left" vertical="center" indent="7"/>
    </xf>
    <xf numFmtId="0" fontId="58" fillId="0" borderId="0" xfId="0" applyFont="1" applyFill="1" applyAlignment="1">
      <alignment vertical="center"/>
    </xf>
    <xf numFmtId="0" fontId="61" fillId="0" borderId="0" xfId="0" applyFont="1" applyFill="1" applyAlignment="1">
      <alignment vertical="center"/>
    </xf>
    <xf numFmtId="0" fontId="61" fillId="0" borderId="0" xfId="0" applyFont="1" applyFill="1" applyAlignment="1">
      <alignment horizontal="left" vertical="center" indent="1"/>
    </xf>
    <xf numFmtId="0" fontId="58" fillId="0" borderId="11" xfId="0" applyFont="1" applyFill="1" applyBorder="1" applyAlignment="1">
      <alignment vertical="center"/>
    </xf>
    <xf numFmtId="0" fontId="15" fillId="23" borderId="7" xfId="0" applyNumberFormat="1" applyFont="1" applyFill="1" applyBorder="1" applyAlignment="1" applyProtection="1">
      <protection locked="0"/>
    </xf>
    <xf numFmtId="2" fontId="15" fillId="23" borderId="7" xfId="0" applyNumberFormat="1" applyFont="1" applyFill="1" applyBorder="1" applyAlignment="1" applyProtection="1">
      <protection locked="0"/>
    </xf>
    <xf numFmtId="0" fontId="15" fillId="23" borderId="0" xfId="0" applyFont="1" applyFill="1" applyBorder="1" applyAlignment="1" applyProtection="1">
      <alignment horizontal="right" vertical="center"/>
      <protection locked="0"/>
    </xf>
    <xf numFmtId="2" fontId="15" fillId="23" borderId="0" xfId="0" applyNumberFormat="1" applyFont="1" applyFill="1" applyBorder="1" applyProtection="1">
      <protection locked="0"/>
    </xf>
    <xf numFmtId="0" fontId="15" fillId="23" borderId="0" xfId="0" applyFont="1" applyFill="1" applyBorder="1" applyProtection="1">
      <protection locked="0"/>
    </xf>
    <xf numFmtId="0" fontId="15" fillId="24" borderId="0" xfId="0" applyNumberFormat="1" applyFont="1" applyFill="1" applyProtection="1">
      <protection locked="0"/>
    </xf>
    <xf numFmtId="2" fontId="15" fillId="24" borderId="0" xfId="0" applyNumberFormat="1" applyFont="1" applyFill="1" applyProtection="1">
      <protection locked="0"/>
    </xf>
    <xf numFmtId="0" fontId="8" fillId="23" borderId="0" xfId="0" applyFont="1" applyFill="1" applyProtection="1">
      <protection locked="0"/>
    </xf>
    <xf numFmtId="0" fontId="8" fillId="23" borderId="0" xfId="0" applyFont="1" applyFill="1" applyAlignment="1" applyProtection="1">
      <alignment vertical="center"/>
      <protection locked="0"/>
    </xf>
    <xf numFmtId="0" fontId="8" fillId="23" borderId="0" xfId="0" applyFont="1" applyFill="1" applyAlignment="1" applyProtection="1">
      <alignment horizontal="right"/>
      <protection locked="0"/>
    </xf>
    <xf numFmtId="0" fontId="21" fillId="5" borderId="0" xfId="0" applyFont="1" applyFill="1"/>
    <xf numFmtId="0" fontId="22" fillId="2" borderId="0" xfId="0" applyFont="1" applyFill="1" applyAlignment="1">
      <alignment horizontal="center"/>
    </xf>
    <xf numFmtId="4" fontId="15" fillId="2" borderId="0" xfId="0" applyNumberFormat="1" applyFont="1" applyFill="1"/>
    <xf numFmtId="0" fontId="22" fillId="19" borderId="0" xfId="0" applyFont="1" applyFill="1" applyAlignment="1">
      <alignment horizontal="center" vertical="center"/>
    </xf>
    <xf numFmtId="4" fontId="15" fillId="19" borderId="0" xfId="0" applyNumberFormat="1" applyFont="1" applyFill="1"/>
    <xf numFmtId="0" fontId="15" fillId="19" borderId="0" xfId="0" applyFont="1" applyFill="1" applyAlignment="1">
      <alignment horizontal="center" wrapText="1"/>
    </xf>
    <xf numFmtId="0" fontId="4" fillId="17" borderId="18" xfId="1" applyFill="1" applyBorder="1" applyAlignment="1" applyProtection="1">
      <alignment horizontal="center" wrapText="1"/>
    </xf>
    <xf numFmtId="0" fontId="4" fillId="17" borderId="19" xfId="1" applyFill="1" applyBorder="1" applyAlignment="1" applyProtection="1">
      <alignment horizontal="center" wrapText="1"/>
    </xf>
    <xf numFmtId="0" fontId="4" fillId="17" borderId="20" xfId="1" applyFill="1" applyBorder="1" applyAlignment="1" applyProtection="1">
      <alignment horizontal="center" wrapText="1"/>
    </xf>
    <xf numFmtId="0" fontId="15" fillId="4" borderId="0" xfId="0" applyFont="1" applyFill="1" applyAlignment="1">
      <alignment horizontal="left" vertical="center" wrapText="1"/>
    </xf>
    <xf numFmtId="0" fontId="22" fillId="4" borderId="0" xfId="0" applyFont="1" applyFill="1" applyAlignment="1">
      <alignment horizontal="center" vertical="center" wrapText="1"/>
    </xf>
    <xf numFmtId="0" fontId="15" fillId="4" borderId="0" xfId="0" applyFont="1" applyFill="1" applyAlignment="1">
      <alignment horizontal="center" vertical="center" wrapText="1"/>
    </xf>
    <xf numFmtId="4" fontId="15" fillId="4" borderId="0" xfId="0" applyNumberFormat="1" applyFont="1" applyFill="1" applyAlignment="1">
      <alignment horizontal="center" vertical="center" wrapText="1"/>
    </xf>
    <xf numFmtId="0" fontId="15" fillId="18" borderId="0" xfId="0" applyFont="1" applyFill="1" applyAlignment="1">
      <alignment horizontal="left" wrapText="1"/>
    </xf>
    <xf numFmtId="0" fontId="22" fillId="18" borderId="0" xfId="0" applyFont="1" applyFill="1" applyAlignment="1">
      <alignment horizontal="center" vertical="center" wrapText="1"/>
    </xf>
    <xf numFmtId="0" fontId="15" fillId="18" borderId="0" xfId="0" applyFont="1" applyFill="1" applyAlignment="1">
      <alignment horizontal="center" vertical="center" wrapText="1"/>
    </xf>
    <xf numFmtId="4" fontId="15" fillId="18" borderId="0" xfId="0" applyNumberFormat="1" applyFont="1" applyFill="1" applyAlignment="1">
      <alignment horizontal="center" vertical="center" wrapText="1"/>
    </xf>
    <xf numFmtId="0" fontId="65" fillId="0" borderId="0" xfId="0" applyFont="1" applyAlignment="1">
      <alignment horizontal="center" vertical="center" wrapText="1"/>
    </xf>
    <xf numFmtId="0" fontId="15" fillId="0" borderId="0" xfId="0" applyFont="1" applyAlignment="1">
      <alignment horizontal="center" wrapText="1"/>
    </xf>
    <xf numFmtId="0" fontId="15" fillId="0" borderId="17" xfId="0" applyFont="1" applyBorder="1" applyAlignment="1">
      <alignment horizontal="center" wrapText="1"/>
    </xf>
    <xf numFmtId="0" fontId="15" fillId="2" borderId="0" xfId="0" applyFont="1" applyFill="1" applyAlignment="1">
      <alignment horizontal="left" wrapText="1"/>
    </xf>
    <xf numFmtId="0" fontId="15" fillId="9" borderId="0" xfId="0" applyFont="1" applyFill="1" applyAlignment="1">
      <alignment horizontal="left" vertical="center" wrapText="1"/>
    </xf>
    <xf numFmtId="0" fontId="0" fillId="17" borderId="37" xfId="0" applyFill="1" applyBorder="1" applyAlignment="1">
      <alignment horizontal="center" wrapText="1"/>
    </xf>
    <xf numFmtId="0" fontId="0" fillId="17" borderId="38" xfId="0" applyFill="1" applyBorder="1" applyAlignment="1">
      <alignment horizontal="center" wrapText="1"/>
    </xf>
    <xf numFmtId="0" fontId="0" fillId="17" borderId="39" xfId="0" applyFill="1" applyBorder="1" applyAlignment="1">
      <alignment horizontal="center" wrapText="1"/>
    </xf>
    <xf numFmtId="0" fontId="0" fillId="17" borderId="40" xfId="0" applyFill="1" applyBorder="1" applyAlignment="1">
      <alignment horizontal="center" wrapText="1"/>
    </xf>
    <xf numFmtId="0" fontId="0" fillId="17" borderId="41" xfId="0" applyFill="1" applyBorder="1" applyAlignment="1">
      <alignment horizontal="center" wrapText="1"/>
    </xf>
    <xf numFmtId="0" fontId="0" fillId="17" borderId="42" xfId="0" applyFill="1" applyBorder="1" applyAlignment="1">
      <alignment horizontal="center" wrapText="1"/>
    </xf>
    <xf numFmtId="0" fontId="22" fillId="9" borderId="0" xfId="0" applyFont="1" applyFill="1" applyAlignment="1">
      <alignment horizontal="center" vertical="center"/>
    </xf>
    <xf numFmtId="0" fontId="15" fillId="9" borderId="0" xfId="0" applyFont="1" applyFill="1" applyAlignment="1">
      <alignment horizontal="center" vertical="center"/>
    </xf>
    <xf numFmtId="4" fontId="15" fillId="9" borderId="0" xfId="0" applyNumberFormat="1" applyFont="1" applyFill="1" applyAlignment="1">
      <alignment horizontal="center" vertical="center"/>
    </xf>
    <xf numFmtId="0" fontId="15" fillId="0" borderId="0" xfId="0" applyFont="1" applyAlignment="1">
      <alignment horizontal="center" vertical="center" wrapText="1"/>
    </xf>
    <xf numFmtId="0" fontId="4" fillId="17" borderId="18" xfId="1" applyFill="1" applyBorder="1" applyAlignment="1" applyProtection="1">
      <alignment horizontal="center" vertical="center"/>
    </xf>
    <xf numFmtId="0" fontId="4" fillId="17" borderId="19" xfId="1" applyFill="1" applyBorder="1" applyAlignment="1" applyProtection="1">
      <alignment horizontal="center" vertical="center"/>
    </xf>
    <xf numFmtId="0" fontId="4" fillId="17" borderId="20" xfId="1" applyFill="1" applyBorder="1" applyAlignment="1" applyProtection="1">
      <alignment horizontal="center" vertical="center"/>
    </xf>
    <xf numFmtId="167" fontId="36" fillId="0" borderId="0" xfId="0" applyNumberFormat="1" applyFont="1" applyAlignment="1">
      <alignment horizontal="center" vertical="center"/>
    </xf>
    <xf numFmtId="0" fontId="63" fillId="17" borderId="18" xfId="1" applyFont="1" applyFill="1" applyBorder="1" applyAlignment="1" applyProtection="1">
      <alignment horizontal="center" vertical="center" wrapText="1"/>
    </xf>
    <xf numFmtId="0" fontId="8" fillId="17" borderId="19" xfId="0" applyFont="1" applyFill="1" applyBorder="1" applyAlignment="1">
      <alignment horizontal="center" vertical="center" wrapText="1"/>
    </xf>
    <xf numFmtId="0" fontId="8" fillId="17" borderId="20" xfId="0" applyFont="1" applyFill="1" applyBorder="1" applyAlignment="1">
      <alignment horizontal="center" vertical="center" wrapText="1"/>
    </xf>
    <xf numFmtId="0" fontId="36" fillId="0" borderId="0" xfId="0" applyFont="1" applyAlignment="1">
      <alignment horizontal="center" vertical="center" wrapText="1"/>
    </xf>
    <xf numFmtId="0" fontId="8" fillId="0" borderId="0" xfId="0" applyFont="1" applyAlignment="1">
      <alignment horizontal="center" vertical="center" wrapText="1"/>
    </xf>
    <xf numFmtId="0" fontId="64" fillId="0" borderId="0" xfId="1" applyFont="1" applyAlignment="1" applyProtection="1">
      <alignment horizontal="center" vertical="center" wrapText="1"/>
    </xf>
    <xf numFmtId="0" fontId="5" fillId="0" borderId="0" xfId="0" applyFont="1" applyBorder="1" applyAlignment="1">
      <alignment horizontal="center"/>
    </xf>
    <xf numFmtId="0" fontId="3" fillId="0" borderId="0" xfId="0" applyFont="1" applyBorder="1" applyAlignment="1">
      <alignment horizontal="center" vertical="center"/>
    </xf>
    <xf numFmtId="0" fontId="0" fillId="2" borderId="0" xfId="0" applyFill="1" applyAlignment="1" applyProtection="1">
      <alignment horizontal="center" vertical="center"/>
      <protection locked="0"/>
    </xf>
    <xf numFmtId="0" fontId="3"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33" fillId="0" borderId="0" xfId="1" applyFont="1" applyAlignment="1" applyProtection="1">
      <alignment horizontal="left" vertical="center"/>
    </xf>
    <xf numFmtId="0" fontId="0" fillId="2" borderId="0" xfId="0" applyFill="1" applyAlignment="1" applyProtection="1">
      <alignment horizontal="center"/>
      <protection locked="0"/>
    </xf>
    <xf numFmtId="0" fontId="9" fillId="0" borderId="0" xfId="0" applyFont="1" applyAlignment="1">
      <alignment horizontal="right" vertical="center"/>
    </xf>
    <xf numFmtId="0" fontId="9" fillId="0" borderId="0" xfId="0" applyFont="1" applyBorder="1" applyAlignment="1">
      <alignment horizontal="right" vertical="center"/>
    </xf>
    <xf numFmtId="0" fontId="3" fillId="4" borderId="0" xfId="0" applyFont="1" applyFill="1" applyAlignment="1">
      <alignment horizontal="center" vertical="center"/>
    </xf>
    <xf numFmtId="0" fontId="15"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Fill="1" applyAlignment="1">
      <alignment horizontal="center" vertical="center"/>
    </xf>
    <xf numFmtId="0" fontId="19" fillId="6" borderId="0" xfId="0" applyNumberFormat="1" applyFont="1" applyFill="1" applyAlignment="1">
      <alignment horizontal="left" vertical="center" wrapText="1"/>
    </xf>
    <xf numFmtId="0" fontId="19" fillId="8" borderId="0" xfId="0" applyNumberFormat="1" applyFont="1" applyFill="1" applyAlignment="1">
      <alignment horizontal="left" vertical="center" wrapText="1"/>
    </xf>
    <xf numFmtId="0" fontId="19" fillId="9" borderId="0" xfId="0" applyFont="1" applyFill="1" applyAlignment="1">
      <alignment horizontal="left" vertical="center" wrapText="1"/>
    </xf>
    <xf numFmtId="0" fontId="19" fillId="6" borderId="0" xfId="0" applyFont="1" applyFill="1" applyAlignment="1">
      <alignment horizontal="left" vertical="center" wrapText="1"/>
    </xf>
    <xf numFmtId="0" fontId="19" fillId="8" borderId="0" xfId="0" applyFont="1" applyFill="1" applyAlignment="1">
      <alignment horizontal="left" vertical="center" wrapText="1"/>
    </xf>
    <xf numFmtId="0" fontId="8" fillId="0" borderId="0" xfId="0" applyFont="1" applyAlignment="1">
      <alignment horizontal="right"/>
    </xf>
    <xf numFmtId="0" fontId="19" fillId="15" borderId="0"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19" fillId="14" borderId="0" xfId="0" applyFont="1" applyFill="1" applyAlignment="1">
      <alignment horizontal="left" vertical="center" wrapText="1"/>
    </xf>
    <xf numFmtId="0" fontId="19" fillId="2" borderId="0" xfId="0" applyFont="1" applyFill="1" applyBorder="1" applyAlignment="1">
      <alignment horizontal="left" vertical="center" wrapText="1"/>
    </xf>
    <xf numFmtId="0" fontId="19" fillId="11" borderId="0" xfId="0" applyFont="1" applyFill="1" applyAlignment="1">
      <alignment horizontal="left" vertical="center" wrapText="1"/>
    </xf>
    <xf numFmtId="0" fontId="38" fillId="0" borderId="0" xfId="0" applyFont="1" applyAlignment="1">
      <alignment horizontal="left" vertical="center" wrapText="1"/>
    </xf>
    <xf numFmtId="0" fontId="40" fillId="0" borderId="0" xfId="0" applyFont="1" applyBorder="1" applyAlignment="1">
      <alignment horizontal="left" vertical="center" wrapText="1"/>
    </xf>
    <xf numFmtId="0" fontId="42" fillId="0" borderId="0" xfId="0" applyFont="1" applyBorder="1" applyAlignment="1">
      <alignment horizontal="left" vertical="center" wrapText="1"/>
    </xf>
    <xf numFmtId="0" fontId="3" fillId="0" borderId="0" xfId="0" applyFont="1" applyBorder="1" applyAlignment="1">
      <alignment horizontal="left" vertical="center" wrapText="1"/>
    </xf>
    <xf numFmtId="0" fontId="42" fillId="0" borderId="0" xfId="0" applyFont="1" applyFill="1" applyAlignment="1">
      <alignment horizontal="left" wrapText="1"/>
    </xf>
    <xf numFmtId="0" fontId="40" fillId="0" borderId="0" xfId="0" applyFont="1" applyAlignment="1">
      <alignment horizontal="left" vertical="center" wrapText="1"/>
    </xf>
    <xf numFmtId="0" fontId="3" fillId="0" borderId="0" xfId="0" applyFont="1" applyAlignment="1">
      <alignment horizontal="left" vertical="center" wrapText="1"/>
    </xf>
    <xf numFmtId="0" fontId="42" fillId="0" borderId="0" xfId="0" applyFont="1" applyFill="1" applyAlignment="1">
      <alignment horizontal="left" vertical="center" wrapText="1"/>
    </xf>
    <xf numFmtId="0" fontId="45"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cellXfs>
  <cellStyles count="3">
    <cellStyle name="Comma" xfId="2" builtinId="3"/>
    <cellStyle name="Hyperlink" xfId="1" builtinId="8"/>
    <cellStyle name="Normal" xfId="0" builtinId="0"/>
  </cellStyles>
  <dxfs count="67">
    <dxf>
      <protection locked="0" hidden="0"/>
    </dxf>
    <dxf>
      <fill>
        <patternFill patternType="solid">
          <fgColor indexed="64"/>
          <bgColor rgb="FF00FF00"/>
        </patternFill>
      </fill>
      <protection locked="0" hidden="0"/>
    </dxf>
    <dxf>
      <fill>
        <patternFill patternType="solid">
          <fgColor indexed="64"/>
          <bgColor rgb="FF00FF00"/>
        </patternFill>
      </fill>
      <protection locked="0" hidden="0"/>
    </dxf>
    <dxf>
      <protection locked="0" hidden="0"/>
    </dxf>
    <dxf>
      <protection locked="0" hidden="0"/>
    </dxf>
    <dxf>
      <fill>
        <patternFill patternType="solid">
          <fgColor indexed="64"/>
          <bgColor rgb="FF00FF00"/>
        </patternFill>
      </fill>
      <protection locked="0" hidden="0"/>
    </dxf>
    <dxf>
      <fill>
        <patternFill patternType="solid">
          <fgColor indexed="64"/>
          <bgColor rgb="FF00FF00"/>
        </patternFill>
      </fill>
      <protection locked="0" hidden="0"/>
    </dxf>
    <dxf>
      <protection locked="0" hidden="0"/>
    </dxf>
    <dxf>
      <protection locked="0" hidden="0"/>
    </dxf>
    <dxf>
      <fill>
        <patternFill patternType="solid">
          <fgColor indexed="64"/>
          <bgColor rgb="FF00FF00"/>
        </patternFill>
      </fill>
      <protection locked="0" hidden="0"/>
    </dxf>
    <dxf>
      <fill>
        <patternFill patternType="solid">
          <fgColor indexed="64"/>
          <bgColor rgb="FF00FF00"/>
        </patternFill>
      </fill>
      <protection locked="0" hidden="0"/>
    </dxf>
    <dxf>
      <protection locked="0" hidden="0"/>
    </dxf>
    <dxf>
      <protection locked="0" hidden="0"/>
    </dxf>
    <dxf>
      <fill>
        <patternFill patternType="solid">
          <fgColor indexed="64"/>
          <bgColor rgb="FF00FF00"/>
        </patternFill>
      </fill>
      <protection locked="0" hidden="0"/>
    </dxf>
    <dxf>
      <fill>
        <patternFill patternType="solid">
          <fgColor indexed="64"/>
          <bgColor rgb="FF00FF00"/>
        </patternFill>
      </fill>
      <protection locked="0" hidden="0"/>
    </dxf>
    <dxf>
      <protection locked="0" hidden="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protection locked="1" hidden="0"/>
    </dxf>
    <dxf>
      <font>
        <strike val="0"/>
        <outline val="0"/>
        <shadow val="0"/>
        <u val="none"/>
        <vertAlign val="baseline"/>
        <sz val="10"/>
        <color theme="1"/>
        <name val="Calibri"/>
        <scheme val="minor"/>
      </font>
      <protection locked="1" hidden="0"/>
    </dxf>
    <dxf>
      <font>
        <strike val="0"/>
        <outline val="0"/>
        <shadow val="0"/>
        <u val="none"/>
        <vertAlign val="baseline"/>
        <sz val="10"/>
        <color theme="1"/>
        <name val="Calibri"/>
        <scheme val="minor"/>
      </font>
      <protection locked="1" hidden="0"/>
    </dxf>
    <dxf>
      <font>
        <strike val="0"/>
        <outline val="0"/>
        <shadow val="0"/>
        <u val="none"/>
        <vertAlign val="baseline"/>
        <sz val="10"/>
        <color theme="1"/>
        <name val="Calibri"/>
        <scheme val="minor"/>
      </font>
      <protection locked="1" hidden="0"/>
    </dxf>
    <dxf>
      <numFmt numFmtId="0" formatCode="General"/>
    </dxf>
    <dxf>
      <numFmt numFmtId="0" formatCode="General"/>
    </dxf>
    <dxf>
      <numFmt numFmtId="0" formatCode="General"/>
    </dxf>
    <dxf>
      <font>
        <b val="0"/>
        <i val="0"/>
        <strike val="0"/>
        <condense val="0"/>
        <extend val="0"/>
        <outline val="0"/>
        <shadow val="0"/>
        <u val="none"/>
        <vertAlign val="baseline"/>
        <sz val="8"/>
        <color theme="1"/>
        <name val="Calibri"/>
        <scheme val="minor"/>
      </font>
      <fill>
        <patternFill patternType="none">
          <fgColor indexed="64"/>
          <bgColor indexed="65"/>
        </patternFill>
      </fill>
    </dxf>
    <dxf>
      <numFmt numFmtId="0" formatCode="General"/>
    </dxf>
    <dxf>
      <numFmt numFmtId="0" formatCode="General"/>
    </dxf>
    <dxf>
      <numFmt numFmtId="0" formatCode="General"/>
    </dxf>
    <dxf>
      <font>
        <b val="0"/>
        <i val="0"/>
        <strike val="0"/>
        <condense val="0"/>
        <extend val="0"/>
        <outline val="0"/>
        <shadow val="0"/>
        <u val="none"/>
        <vertAlign val="baseline"/>
        <sz val="8"/>
        <color theme="1"/>
        <name val="Calibri"/>
        <scheme val="minor"/>
      </font>
      <fill>
        <patternFill patternType="none">
          <fgColor indexed="64"/>
          <bgColor indexed="65"/>
        </patternFill>
      </fill>
    </dxf>
    <dxf>
      <font>
        <strike val="0"/>
        <outline val="0"/>
        <shadow val="0"/>
        <u val="none"/>
        <sz val="10"/>
        <color theme="1"/>
      </font>
      <numFmt numFmtId="164" formatCode="#,##0.00_ ;\-#,##0.00\ "/>
    </dxf>
    <dxf>
      <font>
        <strike val="0"/>
        <outline val="0"/>
        <shadow val="0"/>
        <u val="none"/>
        <sz val="10"/>
        <color theme="1"/>
      </font>
      <numFmt numFmtId="2" formatCode="0.00"/>
    </dxf>
    <dxf>
      <font>
        <strike val="0"/>
        <outline val="0"/>
        <shadow val="0"/>
        <u val="none"/>
        <sz val="10"/>
        <color theme="1"/>
      </font>
    </dxf>
    <dxf>
      <font>
        <strike val="0"/>
        <outline val="0"/>
        <shadow val="0"/>
        <u val="none"/>
        <sz val="10"/>
        <color theme="1"/>
      </font>
    </dxf>
    <dxf>
      <font>
        <b/>
      </font>
      <fill>
        <patternFill patternType="solid">
          <fgColor indexed="64"/>
          <bgColor rgb="FF00FF00"/>
        </patternFill>
      </fill>
      <protection locked="0" hidden="0"/>
    </dxf>
    <dxf>
      <font>
        <b/>
      </font>
      <fill>
        <patternFill patternType="solid">
          <fgColor indexed="64"/>
          <bgColor rgb="FF00FF00"/>
        </patternFill>
      </fill>
      <protection locked="0" hidden="0"/>
    </dxf>
    <dxf>
      <font>
        <b/>
      </font>
      <fill>
        <patternFill patternType="solid">
          <fgColor indexed="64"/>
          <bgColor rgb="FF00FF00"/>
        </patternFill>
      </fill>
      <alignment horizontal="right" vertical="bottom" textRotation="0" wrapText="0" indent="0" justifyLastLine="0" shrinkToFit="0" readingOrder="0"/>
      <protection locked="0" hidden="0"/>
    </dxf>
    <dxf>
      <font>
        <b/>
      </font>
      <fill>
        <patternFill patternType="solid">
          <fgColor indexed="64"/>
          <bgColor rgb="FF00FF00"/>
        </patternFill>
      </fill>
      <alignment horizontal="right" vertical="bottom" textRotation="0" wrapText="0" indent="0" justifyLastLine="0" shrinkToFit="0" readingOrder="0"/>
      <protection locked="0" hidden="0"/>
    </dxf>
    <dxf>
      <font>
        <b/>
      </font>
      <fill>
        <patternFill patternType="solid">
          <fgColor indexed="64"/>
          <bgColor rgb="FF00FF00"/>
        </patternFill>
      </fill>
      <alignment horizontal="right" vertical="bottom" textRotation="0" wrapText="0" indent="0" justifyLastLine="0" shrinkToFit="0" readingOrder="0"/>
      <protection locked="0" hidden="0"/>
    </dxf>
    <dxf>
      <fill>
        <patternFill patternType="solid">
          <fgColor indexed="64"/>
          <bgColor theme="9" tint="0.79998168889431442"/>
        </patternFill>
      </fill>
      <alignment horizontal="right" vertical="bottom" textRotation="0" wrapText="0" indent="0" justifyLastLine="0" shrinkToFit="0" readingOrder="0"/>
    </dxf>
    <dxf>
      <font>
        <b/>
      </font>
      <fill>
        <patternFill patternType="solid">
          <fgColor indexed="64"/>
          <bgColor rgb="FF00FF00"/>
        </patternFill>
      </fill>
      <alignment horizontal="general" vertical="center" textRotation="0" wrapText="0" indent="0" justifyLastLine="0" shrinkToFit="0" readingOrder="0"/>
      <protection locked="0" hidden="0"/>
    </dxf>
    <dxf>
      <font>
        <b/>
      </font>
      <fill>
        <patternFill patternType="solid">
          <fgColor indexed="64"/>
          <bgColor rgb="FF00FF00"/>
        </patternFill>
      </fill>
      <alignment horizontal="general" vertical="center" textRotation="0" wrapText="0" indent="0" justifyLastLine="0" shrinkToFit="0" readingOrder="0"/>
      <protection locked="0" hidden="0"/>
    </dxf>
    <dxf>
      <alignment horizontal="center" vertical="center" textRotation="0" wrapText="1" indent="0" justifyLastLine="0" shrinkToFit="0" readingOrder="0"/>
    </dxf>
    <dxf>
      <font>
        <b/>
      </font>
      <fill>
        <patternFill patternType="solid">
          <fgColor indexed="64"/>
          <bgColor rgb="FF00FF00"/>
        </patternFill>
      </fill>
      <alignment horizontal="right" vertical="bottom" textRotation="0" wrapText="0" indent="0" justifyLastLine="0" shrinkToFit="0" readingOrder="0"/>
      <protection locked="0" hidden="0"/>
    </dxf>
    <dxf>
      <font>
        <b/>
      </font>
      <fill>
        <patternFill patternType="solid">
          <fgColor indexed="64"/>
          <bgColor rgb="FF00FF00"/>
        </patternFill>
      </fill>
      <alignment horizontal="right" vertical="bottom" textRotation="0" wrapText="0" indent="0" justifyLastLine="0" shrinkToFit="0" readingOrder="0"/>
      <protection locked="0" hidden="0"/>
    </dxf>
    <dxf>
      <font>
        <b/>
      </font>
      <fill>
        <patternFill patternType="solid">
          <fgColor indexed="64"/>
          <bgColor rgb="FF00FF00"/>
        </patternFill>
      </fill>
      <alignment horizontal="right" vertical="bottom" textRotation="0" wrapText="0" indent="0" justifyLastLine="0" shrinkToFit="0" readingOrder="0"/>
      <protection locked="0" hidden="0"/>
    </dxf>
    <dxf>
      <font>
        <b/>
      </font>
      <fill>
        <patternFill patternType="solid">
          <fgColor indexed="64"/>
          <bgColor theme="9" tint="0.79998168889431442"/>
        </patternFill>
      </fill>
      <alignment horizontal="right" vertical="bottom" textRotation="0" wrapText="0" indent="0" justifyLastLine="0" shrinkToFit="0" readingOrder="0"/>
    </dxf>
    <dxf>
      <font>
        <b/>
      </font>
      <fill>
        <patternFill patternType="solid">
          <fgColor indexed="64"/>
          <bgColor rgb="FF00FF00"/>
        </patternFill>
      </fill>
      <alignment horizontal="general" vertical="center" textRotation="0" wrapText="0" indent="0" justifyLastLine="0" shrinkToFit="0" readingOrder="0"/>
      <protection locked="0" hidden="0"/>
    </dxf>
    <dxf>
      <font>
        <b/>
      </font>
      <fill>
        <patternFill patternType="solid">
          <fgColor indexed="64"/>
          <bgColor rgb="FF00FF00"/>
        </patternFill>
      </fill>
      <alignment horizontal="general" vertical="center" textRotation="0" wrapText="0" indent="0" justifyLastLine="0" shrinkToFit="0" readingOrder="0"/>
      <protection locked="0" hidden="0"/>
    </dxf>
    <dxf>
      <alignment horizontal="left" vertical="center" textRotation="0" wrapText="0" indent="0" justifyLastLine="0" shrinkToFit="0" readingOrder="0"/>
    </dxf>
    <dxf>
      <font>
        <b/>
      </font>
      <fill>
        <patternFill patternType="solid">
          <fgColor indexed="64"/>
          <bgColor theme="9" tint="0.79998168889431442"/>
        </patternFill>
      </fill>
    </dxf>
    <dxf>
      <font>
        <b/>
      </font>
      <fill>
        <patternFill patternType="solid">
          <fgColor indexed="64"/>
          <bgColor theme="9" tint="0.79998168889431442"/>
        </patternFill>
      </fill>
    </dxf>
    <dxf>
      <alignment horizontal="center" vertical="center" textRotation="0" wrapText="0" indent="0" justifyLastLine="0" shrinkToFit="0" readingOrder="0"/>
    </dxf>
    <dxf>
      <font>
        <b/>
        <strike val="0"/>
        <outline val="0"/>
        <shadow val="0"/>
        <u val="none"/>
        <vertAlign val="baseline"/>
        <sz val="11"/>
        <color auto="1"/>
        <name val="Calibri"/>
        <scheme val="minor"/>
      </font>
      <fill>
        <patternFill patternType="solid">
          <fgColor indexed="64"/>
          <bgColor rgb="FFFF0000"/>
        </patternFill>
      </fill>
      <protection locked="1" hidden="0"/>
    </dxf>
    <dxf>
      <font>
        <b/>
        <strike val="0"/>
        <outline val="0"/>
        <shadow val="0"/>
        <u val="none"/>
        <vertAlign val="baseline"/>
        <sz val="11"/>
        <color auto="1"/>
        <name val="Calibri"/>
        <scheme val="minor"/>
      </font>
      <fill>
        <patternFill patternType="solid">
          <fgColor indexed="64"/>
          <bgColor rgb="FFFF0000"/>
        </patternFill>
      </fill>
      <protection locked="1" hidden="0"/>
    </dxf>
    <dxf>
      <font>
        <b/>
      </font>
      <fill>
        <patternFill patternType="solid">
          <fgColor indexed="64"/>
          <bgColor rgb="FF00FF00"/>
        </patternFill>
      </fill>
      <protection locked="0" hidden="0"/>
    </dxf>
    <dxf>
      <font>
        <b/>
      </font>
      <fill>
        <patternFill patternType="solid">
          <fgColor indexed="64"/>
          <bgColor rgb="FF00FF00"/>
        </patternFill>
      </fill>
      <protection locked="0" hidden="0"/>
    </dxf>
    <dxf>
      <alignment horizontal="center" vertical="center" textRotation="0" wrapText="0" indent="0" justifyLastLine="0" shrinkToFit="0" readingOrder="0"/>
    </dxf>
    <dxf>
      <font>
        <b/>
      </font>
      <numFmt numFmtId="0" formatCode="General"/>
    </dxf>
    <dxf>
      <font>
        <b/>
      </font>
    </dxf>
    <dxf>
      <alignment horizontal="center" vertical="center" textRotation="0" wrapText="0" indent="0" justifyLastLine="0" shrinkToFit="0" readingOrder="0"/>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63F5FBA-AD98-458D-B36C-4B180A4213F2}" type="doc">
      <dgm:prSet loTypeId="urn:microsoft.com/office/officeart/2005/8/layout/arrow6" loCatId="process" qsTypeId="urn:microsoft.com/office/officeart/2005/8/quickstyle/simple2" qsCatId="simple" csTypeId="urn:microsoft.com/office/officeart/2005/8/colors/accent1_2" csCatId="accent1" phldr="1"/>
      <dgm:spPr/>
      <dgm:t>
        <a:bodyPr/>
        <a:lstStyle/>
        <a:p>
          <a:endParaRPr lang="en-US"/>
        </a:p>
      </dgm:t>
    </dgm:pt>
    <dgm:pt modelId="{C71299B6-2565-4221-9FFF-21C4B53DDB5F}">
      <dgm:prSet phldrT="[Text]"/>
      <dgm:spPr/>
      <dgm:t>
        <a:bodyPr/>
        <a:lstStyle/>
        <a:p>
          <a:endParaRPr lang="en-US"/>
        </a:p>
      </dgm:t>
    </dgm:pt>
    <dgm:pt modelId="{0E8B66B0-D34C-411B-8231-784CB71931C3}" type="parTrans" cxnId="{5125E87D-EB8F-4FCC-952A-ED1CE7ED6497}">
      <dgm:prSet/>
      <dgm:spPr/>
      <dgm:t>
        <a:bodyPr/>
        <a:lstStyle/>
        <a:p>
          <a:endParaRPr lang="en-US"/>
        </a:p>
      </dgm:t>
    </dgm:pt>
    <dgm:pt modelId="{96ADFFCC-6834-428E-BCFF-4B4004F1ACAF}" type="sibTrans" cxnId="{5125E87D-EB8F-4FCC-952A-ED1CE7ED6497}">
      <dgm:prSet/>
      <dgm:spPr/>
      <dgm:t>
        <a:bodyPr/>
        <a:lstStyle/>
        <a:p>
          <a:endParaRPr lang="en-US"/>
        </a:p>
      </dgm:t>
    </dgm:pt>
    <dgm:pt modelId="{3CA2B215-67FF-46C9-9A1B-F06414D39346}">
      <dgm:prSet/>
      <dgm:spPr/>
      <dgm:t>
        <a:bodyPr/>
        <a:lstStyle/>
        <a:p>
          <a:r>
            <a:rPr lang="en-US"/>
            <a:t>SISTEM DC90</a:t>
          </a:r>
        </a:p>
      </dgm:t>
    </dgm:pt>
    <dgm:pt modelId="{4588F67F-4D1D-4A75-8101-581E31C36165}" type="parTrans" cxnId="{D50B1B0C-8487-4CC8-AFB4-5043924F9DDA}">
      <dgm:prSet/>
      <dgm:spPr/>
      <dgm:t>
        <a:bodyPr/>
        <a:lstStyle/>
        <a:p>
          <a:endParaRPr lang="en-US"/>
        </a:p>
      </dgm:t>
    </dgm:pt>
    <dgm:pt modelId="{43431F60-DB6E-415B-ABDE-336EACD3DAA1}" type="sibTrans" cxnId="{D50B1B0C-8487-4CC8-AFB4-5043924F9DDA}">
      <dgm:prSet/>
      <dgm:spPr/>
      <dgm:t>
        <a:bodyPr/>
        <a:lstStyle/>
        <a:p>
          <a:endParaRPr lang="en-US"/>
        </a:p>
      </dgm:t>
    </dgm:pt>
    <dgm:pt modelId="{75BE83EF-DC5B-4EAA-9BD2-1FC51A5A157E}" type="pres">
      <dgm:prSet presAssocID="{963F5FBA-AD98-458D-B36C-4B180A4213F2}" presName="compositeShape" presStyleCnt="0">
        <dgm:presLayoutVars>
          <dgm:chMax val="2"/>
          <dgm:dir/>
          <dgm:resizeHandles val="exact"/>
        </dgm:presLayoutVars>
      </dgm:prSet>
      <dgm:spPr/>
      <dgm:t>
        <a:bodyPr/>
        <a:lstStyle/>
        <a:p>
          <a:endParaRPr lang="en-US"/>
        </a:p>
      </dgm:t>
    </dgm:pt>
    <dgm:pt modelId="{E036457C-1173-496D-8AF3-5E3C43A5C672}" type="pres">
      <dgm:prSet presAssocID="{963F5FBA-AD98-458D-B36C-4B180A4213F2}" presName="ribbon" presStyleLbl="node1" presStyleIdx="0" presStyleCnt="1" custScaleX="149000" custLinFactNeighborX="-299"/>
      <dgm:spPr/>
    </dgm:pt>
    <dgm:pt modelId="{1C5FCD79-AA11-48AE-938C-48FC2644B350}" type="pres">
      <dgm:prSet presAssocID="{963F5FBA-AD98-458D-B36C-4B180A4213F2}" presName="leftArrowText" presStyleLbl="node1" presStyleIdx="0" presStyleCnt="1" custScaleX="135731" custLinFactNeighborX="-17187">
        <dgm:presLayoutVars>
          <dgm:chMax val="0"/>
          <dgm:bulletEnabled val="1"/>
        </dgm:presLayoutVars>
      </dgm:prSet>
      <dgm:spPr/>
      <dgm:t>
        <a:bodyPr/>
        <a:lstStyle/>
        <a:p>
          <a:endParaRPr lang="en-US"/>
        </a:p>
      </dgm:t>
    </dgm:pt>
    <dgm:pt modelId="{575CADAD-7602-44B4-8FFF-A144CFA9666A}" type="pres">
      <dgm:prSet presAssocID="{963F5FBA-AD98-458D-B36C-4B180A4213F2}" presName="rightArrowText" presStyleLbl="node1" presStyleIdx="0" presStyleCnt="1" custScaleX="230915" custLinFactNeighborX="37017">
        <dgm:presLayoutVars>
          <dgm:chMax val="0"/>
          <dgm:bulletEnabled val="1"/>
        </dgm:presLayoutVars>
      </dgm:prSet>
      <dgm:spPr/>
      <dgm:t>
        <a:bodyPr/>
        <a:lstStyle/>
        <a:p>
          <a:endParaRPr lang="en-US"/>
        </a:p>
      </dgm:t>
    </dgm:pt>
  </dgm:ptLst>
  <dgm:cxnLst>
    <dgm:cxn modelId="{837831B9-74E6-431B-A631-2A6B1B9E111D}" type="presOf" srcId="{C71299B6-2565-4221-9FFF-21C4B53DDB5F}" destId="{1C5FCD79-AA11-48AE-938C-48FC2644B350}" srcOrd="0" destOrd="0" presId="urn:microsoft.com/office/officeart/2005/8/layout/arrow6"/>
    <dgm:cxn modelId="{5125E87D-EB8F-4FCC-952A-ED1CE7ED6497}" srcId="{963F5FBA-AD98-458D-B36C-4B180A4213F2}" destId="{C71299B6-2565-4221-9FFF-21C4B53DDB5F}" srcOrd="0" destOrd="0" parTransId="{0E8B66B0-D34C-411B-8231-784CB71931C3}" sibTransId="{96ADFFCC-6834-428E-BCFF-4B4004F1ACAF}"/>
    <dgm:cxn modelId="{D50B1B0C-8487-4CC8-AFB4-5043924F9DDA}" srcId="{963F5FBA-AD98-458D-B36C-4B180A4213F2}" destId="{3CA2B215-67FF-46C9-9A1B-F06414D39346}" srcOrd="1" destOrd="0" parTransId="{4588F67F-4D1D-4A75-8101-581E31C36165}" sibTransId="{43431F60-DB6E-415B-ABDE-336EACD3DAA1}"/>
    <dgm:cxn modelId="{1134B63B-623E-415D-9FAC-9DF0D3156375}" type="presOf" srcId="{3CA2B215-67FF-46C9-9A1B-F06414D39346}" destId="{575CADAD-7602-44B4-8FFF-A144CFA9666A}" srcOrd="0" destOrd="0" presId="urn:microsoft.com/office/officeart/2005/8/layout/arrow6"/>
    <dgm:cxn modelId="{88EE0EBF-7E34-4054-828D-ADB542F2142A}" type="presOf" srcId="{963F5FBA-AD98-458D-B36C-4B180A4213F2}" destId="{75BE83EF-DC5B-4EAA-9BD2-1FC51A5A157E}" srcOrd="0" destOrd="0" presId="urn:microsoft.com/office/officeart/2005/8/layout/arrow6"/>
    <dgm:cxn modelId="{139F370F-9F9F-455A-B203-ADEFCEEA4D0C}" type="presParOf" srcId="{75BE83EF-DC5B-4EAA-9BD2-1FC51A5A157E}" destId="{E036457C-1173-496D-8AF3-5E3C43A5C672}" srcOrd="0" destOrd="0" presId="urn:microsoft.com/office/officeart/2005/8/layout/arrow6"/>
    <dgm:cxn modelId="{339D43EC-2128-464B-A496-CC14E9F6AC95}" type="presParOf" srcId="{75BE83EF-DC5B-4EAA-9BD2-1FC51A5A157E}" destId="{1C5FCD79-AA11-48AE-938C-48FC2644B350}" srcOrd="1" destOrd="0" presId="urn:microsoft.com/office/officeart/2005/8/layout/arrow6"/>
    <dgm:cxn modelId="{A82E4709-6E25-481D-9C31-1DF42DA4DA77}" type="presParOf" srcId="{75BE83EF-DC5B-4EAA-9BD2-1FC51A5A157E}" destId="{575CADAD-7602-44B4-8FFF-A144CFA9666A}" srcOrd="2" destOrd="0" presId="urn:microsoft.com/office/officeart/2005/8/layout/arrow6"/>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963F5FBA-AD98-458D-B36C-4B180A4213F2}" type="doc">
      <dgm:prSet loTypeId="urn:microsoft.com/office/officeart/2005/8/layout/arrow6" loCatId="process" qsTypeId="urn:microsoft.com/office/officeart/2005/8/quickstyle/simple2" qsCatId="simple" csTypeId="urn:microsoft.com/office/officeart/2005/8/colors/accent1_2" csCatId="accent1" phldr="1"/>
      <dgm:spPr/>
      <dgm:t>
        <a:bodyPr/>
        <a:lstStyle/>
        <a:p>
          <a:endParaRPr lang="en-US"/>
        </a:p>
      </dgm:t>
    </dgm:pt>
    <dgm:pt modelId="{C71299B6-2565-4221-9FFF-21C4B53DDB5F}">
      <dgm:prSet phldrT="[Text]"/>
      <dgm:spPr/>
      <dgm:t>
        <a:bodyPr/>
        <a:lstStyle/>
        <a:p>
          <a:r>
            <a:rPr lang="en-US"/>
            <a:t>SISTEM DC90</a:t>
          </a:r>
        </a:p>
      </dgm:t>
    </dgm:pt>
    <dgm:pt modelId="{0E8B66B0-D34C-411B-8231-784CB71931C3}" type="parTrans" cxnId="{5125E87D-EB8F-4FCC-952A-ED1CE7ED6497}">
      <dgm:prSet/>
      <dgm:spPr/>
      <dgm:t>
        <a:bodyPr/>
        <a:lstStyle/>
        <a:p>
          <a:endParaRPr lang="en-US"/>
        </a:p>
      </dgm:t>
    </dgm:pt>
    <dgm:pt modelId="{96ADFFCC-6834-428E-BCFF-4B4004F1ACAF}" type="sibTrans" cxnId="{5125E87D-EB8F-4FCC-952A-ED1CE7ED6497}">
      <dgm:prSet/>
      <dgm:spPr/>
      <dgm:t>
        <a:bodyPr/>
        <a:lstStyle/>
        <a:p>
          <a:endParaRPr lang="en-US"/>
        </a:p>
      </dgm:t>
    </dgm:pt>
    <dgm:pt modelId="{3CA2B215-67FF-46C9-9A1B-F06414D39346}">
      <dgm:prSet/>
      <dgm:spPr/>
      <dgm:t>
        <a:bodyPr/>
        <a:lstStyle/>
        <a:p>
          <a:r>
            <a:rPr lang="en-US"/>
            <a:t>SISTEM DC90</a:t>
          </a:r>
        </a:p>
      </dgm:t>
    </dgm:pt>
    <dgm:pt modelId="{4588F67F-4D1D-4A75-8101-581E31C36165}" type="parTrans" cxnId="{D50B1B0C-8487-4CC8-AFB4-5043924F9DDA}">
      <dgm:prSet/>
      <dgm:spPr/>
      <dgm:t>
        <a:bodyPr/>
        <a:lstStyle/>
        <a:p>
          <a:endParaRPr lang="en-US"/>
        </a:p>
      </dgm:t>
    </dgm:pt>
    <dgm:pt modelId="{43431F60-DB6E-415B-ABDE-336EACD3DAA1}" type="sibTrans" cxnId="{D50B1B0C-8487-4CC8-AFB4-5043924F9DDA}">
      <dgm:prSet/>
      <dgm:spPr/>
      <dgm:t>
        <a:bodyPr/>
        <a:lstStyle/>
        <a:p>
          <a:endParaRPr lang="en-US"/>
        </a:p>
      </dgm:t>
    </dgm:pt>
    <dgm:pt modelId="{75BE83EF-DC5B-4EAA-9BD2-1FC51A5A157E}" type="pres">
      <dgm:prSet presAssocID="{963F5FBA-AD98-458D-B36C-4B180A4213F2}" presName="compositeShape" presStyleCnt="0">
        <dgm:presLayoutVars>
          <dgm:chMax val="2"/>
          <dgm:dir/>
          <dgm:resizeHandles val="exact"/>
        </dgm:presLayoutVars>
      </dgm:prSet>
      <dgm:spPr/>
      <dgm:t>
        <a:bodyPr/>
        <a:lstStyle/>
        <a:p>
          <a:endParaRPr lang="en-US"/>
        </a:p>
      </dgm:t>
    </dgm:pt>
    <dgm:pt modelId="{E036457C-1173-496D-8AF3-5E3C43A5C672}" type="pres">
      <dgm:prSet presAssocID="{963F5FBA-AD98-458D-B36C-4B180A4213F2}" presName="ribbon" presStyleLbl="node1" presStyleIdx="0" presStyleCnt="1" custScaleX="191989" custLinFactNeighborX="-299"/>
      <dgm:spPr/>
    </dgm:pt>
    <dgm:pt modelId="{1C5FCD79-AA11-48AE-938C-48FC2644B350}" type="pres">
      <dgm:prSet presAssocID="{963F5FBA-AD98-458D-B36C-4B180A4213F2}" presName="leftArrowText" presStyleLbl="node1" presStyleIdx="0" presStyleCnt="1" custScaleX="183194" custLinFactNeighborX="-49062">
        <dgm:presLayoutVars>
          <dgm:chMax val="0"/>
          <dgm:bulletEnabled val="1"/>
        </dgm:presLayoutVars>
      </dgm:prSet>
      <dgm:spPr/>
      <dgm:t>
        <a:bodyPr/>
        <a:lstStyle/>
        <a:p>
          <a:endParaRPr lang="en-US"/>
        </a:p>
      </dgm:t>
    </dgm:pt>
    <dgm:pt modelId="{575CADAD-7602-44B4-8FFF-A144CFA9666A}" type="pres">
      <dgm:prSet presAssocID="{963F5FBA-AD98-458D-B36C-4B180A4213F2}" presName="rightArrowText" presStyleLbl="node1" presStyleIdx="0" presStyleCnt="1" custScaleX="166051" custLinFactNeighborX="18343">
        <dgm:presLayoutVars>
          <dgm:chMax val="0"/>
          <dgm:bulletEnabled val="1"/>
        </dgm:presLayoutVars>
      </dgm:prSet>
      <dgm:spPr/>
      <dgm:t>
        <a:bodyPr/>
        <a:lstStyle/>
        <a:p>
          <a:endParaRPr lang="en-US"/>
        </a:p>
      </dgm:t>
    </dgm:pt>
  </dgm:ptLst>
  <dgm:cxnLst>
    <dgm:cxn modelId="{1F51BE94-7531-4F85-B9B1-57C064C461E9}" type="presOf" srcId="{C71299B6-2565-4221-9FFF-21C4B53DDB5F}" destId="{1C5FCD79-AA11-48AE-938C-48FC2644B350}" srcOrd="0" destOrd="0" presId="urn:microsoft.com/office/officeart/2005/8/layout/arrow6"/>
    <dgm:cxn modelId="{5125E87D-EB8F-4FCC-952A-ED1CE7ED6497}" srcId="{963F5FBA-AD98-458D-B36C-4B180A4213F2}" destId="{C71299B6-2565-4221-9FFF-21C4B53DDB5F}" srcOrd="0" destOrd="0" parTransId="{0E8B66B0-D34C-411B-8231-784CB71931C3}" sibTransId="{96ADFFCC-6834-428E-BCFF-4B4004F1ACAF}"/>
    <dgm:cxn modelId="{10702ACE-4FE2-4D9D-8F7A-957A109E7664}" type="presOf" srcId="{3CA2B215-67FF-46C9-9A1B-F06414D39346}" destId="{575CADAD-7602-44B4-8FFF-A144CFA9666A}" srcOrd="0" destOrd="0" presId="urn:microsoft.com/office/officeart/2005/8/layout/arrow6"/>
    <dgm:cxn modelId="{293C52CA-783D-4375-B1A1-F03F5BC6B834}" type="presOf" srcId="{963F5FBA-AD98-458D-B36C-4B180A4213F2}" destId="{75BE83EF-DC5B-4EAA-9BD2-1FC51A5A157E}" srcOrd="0" destOrd="0" presId="urn:microsoft.com/office/officeart/2005/8/layout/arrow6"/>
    <dgm:cxn modelId="{D50B1B0C-8487-4CC8-AFB4-5043924F9DDA}" srcId="{963F5FBA-AD98-458D-B36C-4B180A4213F2}" destId="{3CA2B215-67FF-46C9-9A1B-F06414D39346}" srcOrd="1" destOrd="0" parTransId="{4588F67F-4D1D-4A75-8101-581E31C36165}" sibTransId="{43431F60-DB6E-415B-ABDE-336EACD3DAA1}"/>
    <dgm:cxn modelId="{E4661CE8-194B-48D2-B3C4-84396DA2EDBA}" type="presParOf" srcId="{75BE83EF-DC5B-4EAA-9BD2-1FC51A5A157E}" destId="{E036457C-1173-496D-8AF3-5E3C43A5C672}" srcOrd="0" destOrd="0" presId="urn:microsoft.com/office/officeart/2005/8/layout/arrow6"/>
    <dgm:cxn modelId="{46D55059-508F-4B95-A562-027BD3808808}" type="presParOf" srcId="{75BE83EF-DC5B-4EAA-9BD2-1FC51A5A157E}" destId="{1C5FCD79-AA11-48AE-938C-48FC2644B350}" srcOrd="1" destOrd="0" presId="urn:microsoft.com/office/officeart/2005/8/layout/arrow6"/>
    <dgm:cxn modelId="{BA8C5FA0-53B2-4F01-99FB-97A68E3B4B8F}" type="presParOf" srcId="{75BE83EF-DC5B-4EAA-9BD2-1FC51A5A157E}" destId="{575CADAD-7602-44B4-8FFF-A144CFA9666A}" srcOrd="2" destOrd="0" presId="urn:microsoft.com/office/officeart/2005/8/layout/arrow6"/>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963F5FBA-AD98-458D-B36C-4B180A4213F2}" type="doc">
      <dgm:prSet loTypeId="urn:microsoft.com/office/officeart/2005/8/layout/arrow6" loCatId="process" qsTypeId="urn:microsoft.com/office/officeart/2005/8/quickstyle/simple2" qsCatId="simple" csTypeId="urn:microsoft.com/office/officeart/2005/8/colors/accent1_2" csCatId="accent1" phldr="1"/>
      <dgm:spPr/>
      <dgm:t>
        <a:bodyPr/>
        <a:lstStyle/>
        <a:p>
          <a:endParaRPr lang="en-US"/>
        </a:p>
      </dgm:t>
    </dgm:pt>
    <dgm:pt modelId="{C71299B6-2565-4221-9FFF-21C4B53DDB5F}">
      <dgm:prSet phldrT="[Text]"/>
      <dgm:spPr/>
      <dgm:t>
        <a:bodyPr/>
        <a:lstStyle/>
        <a:p>
          <a:r>
            <a:rPr lang="en-US"/>
            <a:t>SISTEM DC90</a:t>
          </a:r>
        </a:p>
      </dgm:t>
    </dgm:pt>
    <dgm:pt modelId="{0E8B66B0-D34C-411B-8231-784CB71931C3}" type="parTrans" cxnId="{5125E87D-EB8F-4FCC-952A-ED1CE7ED6497}">
      <dgm:prSet/>
      <dgm:spPr/>
      <dgm:t>
        <a:bodyPr/>
        <a:lstStyle/>
        <a:p>
          <a:endParaRPr lang="en-US"/>
        </a:p>
      </dgm:t>
    </dgm:pt>
    <dgm:pt modelId="{96ADFFCC-6834-428E-BCFF-4B4004F1ACAF}" type="sibTrans" cxnId="{5125E87D-EB8F-4FCC-952A-ED1CE7ED6497}">
      <dgm:prSet/>
      <dgm:spPr/>
      <dgm:t>
        <a:bodyPr/>
        <a:lstStyle/>
        <a:p>
          <a:endParaRPr lang="en-US"/>
        </a:p>
      </dgm:t>
    </dgm:pt>
    <dgm:pt modelId="{3CA2B215-67FF-46C9-9A1B-F06414D39346}">
      <dgm:prSet/>
      <dgm:spPr/>
      <dgm:t>
        <a:bodyPr/>
        <a:lstStyle/>
        <a:p>
          <a:endParaRPr lang="en-US"/>
        </a:p>
      </dgm:t>
    </dgm:pt>
    <dgm:pt modelId="{4588F67F-4D1D-4A75-8101-581E31C36165}" type="parTrans" cxnId="{D50B1B0C-8487-4CC8-AFB4-5043924F9DDA}">
      <dgm:prSet/>
      <dgm:spPr/>
      <dgm:t>
        <a:bodyPr/>
        <a:lstStyle/>
        <a:p>
          <a:endParaRPr lang="en-US"/>
        </a:p>
      </dgm:t>
    </dgm:pt>
    <dgm:pt modelId="{43431F60-DB6E-415B-ABDE-336EACD3DAA1}" type="sibTrans" cxnId="{D50B1B0C-8487-4CC8-AFB4-5043924F9DDA}">
      <dgm:prSet/>
      <dgm:spPr/>
      <dgm:t>
        <a:bodyPr/>
        <a:lstStyle/>
        <a:p>
          <a:endParaRPr lang="en-US"/>
        </a:p>
      </dgm:t>
    </dgm:pt>
    <dgm:pt modelId="{662E06A4-7A59-4E3C-9DEF-1DFBE98263C5}">
      <dgm:prSet phldrT="[Text]"/>
      <dgm:spPr/>
      <dgm:t>
        <a:bodyPr/>
        <a:lstStyle/>
        <a:p>
          <a:endParaRPr lang="en-US"/>
        </a:p>
      </dgm:t>
    </dgm:pt>
    <dgm:pt modelId="{8E783B52-E815-44A7-860D-14EDC9209AAA}" type="parTrans" cxnId="{8C2ACF1A-372D-44B7-B493-DB175B3C0558}">
      <dgm:prSet/>
      <dgm:spPr/>
      <dgm:t>
        <a:bodyPr/>
        <a:lstStyle/>
        <a:p>
          <a:endParaRPr lang="sr-Latn-CS"/>
        </a:p>
      </dgm:t>
    </dgm:pt>
    <dgm:pt modelId="{BF0ABA43-9B03-4923-B881-8B9A8131C19B}" type="sibTrans" cxnId="{8C2ACF1A-372D-44B7-B493-DB175B3C0558}">
      <dgm:prSet/>
      <dgm:spPr/>
      <dgm:t>
        <a:bodyPr/>
        <a:lstStyle/>
        <a:p>
          <a:endParaRPr lang="sr-Latn-CS"/>
        </a:p>
      </dgm:t>
    </dgm:pt>
    <dgm:pt modelId="{75BE83EF-DC5B-4EAA-9BD2-1FC51A5A157E}" type="pres">
      <dgm:prSet presAssocID="{963F5FBA-AD98-458D-B36C-4B180A4213F2}" presName="compositeShape" presStyleCnt="0">
        <dgm:presLayoutVars>
          <dgm:chMax val="2"/>
          <dgm:dir/>
          <dgm:resizeHandles val="exact"/>
        </dgm:presLayoutVars>
      </dgm:prSet>
      <dgm:spPr/>
      <dgm:t>
        <a:bodyPr/>
        <a:lstStyle/>
        <a:p>
          <a:endParaRPr lang="en-US"/>
        </a:p>
      </dgm:t>
    </dgm:pt>
    <dgm:pt modelId="{E036457C-1173-496D-8AF3-5E3C43A5C672}" type="pres">
      <dgm:prSet presAssocID="{963F5FBA-AD98-458D-B36C-4B180A4213F2}" presName="ribbon" presStyleLbl="node1" presStyleIdx="0" presStyleCnt="1" custScaleX="169455" custLinFactNeighborX="-1871" custLinFactNeighborY="2041"/>
      <dgm:spPr/>
    </dgm:pt>
    <dgm:pt modelId="{1C5FCD79-AA11-48AE-938C-48FC2644B350}" type="pres">
      <dgm:prSet presAssocID="{963F5FBA-AD98-458D-B36C-4B180A4213F2}" presName="leftArrowText" presStyleLbl="node1" presStyleIdx="0" presStyleCnt="1" custScaleX="185347" custScaleY="95398" custLinFactNeighborX="-46347">
        <dgm:presLayoutVars>
          <dgm:chMax val="0"/>
          <dgm:bulletEnabled val="1"/>
        </dgm:presLayoutVars>
      </dgm:prSet>
      <dgm:spPr/>
      <dgm:t>
        <a:bodyPr/>
        <a:lstStyle/>
        <a:p>
          <a:endParaRPr lang="en-US"/>
        </a:p>
      </dgm:t>
    </dgm:pt>
    <dgm:pt modelId="{575CADAD-7602-44B4-8FFF-A144CFA9666A}" type="pres">
      <dgm:prSet presAssocID="{963F5FBA-AD98-458D-B36C-4B180A4213F2}" presName="rightArrowText" presStyleLbl="node1" presStyleIdx="0" presStyleCnt="1" custScaleX="212629" custLinFactNeighborX="21936">
        <dgm:presLayoutVars>
          <dgm:chMax val="0"/>
          <dgm:bulletEnabled val="1"/>
        </dgm:presLayoutVars>
      </dgm:prSet>
      <dgm:spPr/>
      <dgm:t>
        <a:bodyPr/>
        <a:lstStyle/>
        <a:p>
          <a:endParaRPr lang="en-US"/>
        </a:p>
      </dgm:t>
    </dgm:pt>
  </dgm:ptLst>
  <dgm:cxnLst>
    <dgm:cxn modelId="{8C2ACF1A-372D-44B7-B493-DB175B3C0558}" srcId="{963F5FBA-AD98-458D-B36C-4B180A4213F2}" destId="{662E06A4-7A59-4E3C-9DEF-1DFBE98263C5}" srcOrd="1" destOrd="0" parTransId="{8E783B52-E815-44A7-860D-14EDC9209AAA}" sibTransId="{BF0ABA43-9B03-4923-B881-8B9A8131C19B}"/>
    <dgm:cxn modelId="{B4C19E85-60A0-4454-9B4D-D87400242DE9}" type="presOf" srcId="{C71299B6-2565-4221-9FFF-21C4B53DDB5F}" destId="{1C5FCD79-AA11-48AE-938C-48FC2644B350}" srcOrd="0" destOrd="0" presId="urn:microsoft.com/office/officeart/2005/8/layout/arrow6"/>
    <dgm:cxn modelId="{D0CE3AE3-35A7-4BCF-9758-A0FCAFF3E47F}" type="presOf" srcId="{662E06A4-7A59-4E3C-9DEF-1DFBE98263C5}" destId="{575CADAD-7602-44B4-8FFF-A144CFA9666A}" srcOrd="0" destOrd="0" presId="urn:microsoft.com/office/officeart/2005/8/layout/arrow6"/>
    <dgm:cxn modelId="{5125E87D-EB8F-4FCC-952A-ED1CE7ED6497}" srcId="{963F5FBA-AD98-458D-B36C-4B180A4213F2}" destId="{C71299B6-2565-4221-9FFF-21C4B53DDB5F}" srcOrd="0" destOrd="0" parTransId="{0E8B66B0-D34C-411B-8231-784CB71931C3}" sibTransId="{96ADFFCC-6834-428E-BCFF-4B4004F1ACAF}"/>
    <dgm:cxn modelId="{D50B1B0C-8487-4CC8-AFB4-5043924F9DDA}" srcId="{963F5FBA-AD98-458D-B36C-4B180A4213F2}" destId="{3CA2B215-67FF-46C9-9A1B-F06414D39346}" srcOrd="2" destOrd="0" parTransId="{4588F67F-4D1D-4A75-8101-581E31C36165}" sibTransId="{43431F60-DB6E-415B-ABDE-336EACD3DAA1}"/>
    <dgm:cxn modelId="{FF8B97C6-575E-4C8C-A1DA-A28CF5B31C1A}" type="presOf" srcId="{963F5FBA-AD98-458D-B36C-4B180A4213F2}" destId="{75BE83EF-DC5B-4EAA-9BD2-1FC51A5A157E}" srcOrd="0" destOrd="0" presId="urn:microsoft.com/office/officeart/2005/8/layout/arrow6"/>
    <dgm:cxn modelId="{F64FBB3A-B434-426F-8055-88E6744D812D}" type="presParOf" srcId="{75BE83EF-DC5B-4EAA-9BD2-1FC51A5A157E}" destId="{E036457C-1173-496D-8AF3-5E3C43A5C672}" srcOrd="0" destOrd="0" presId="urn:microsoft.com/office/officeart/2005/8/layout/arrow6"/>
    <dgm:cxn modelId="{CB2F6A9D-6FD7-4329-82FE-029EC20F8F0C}" type="presParOf" srcId="{75BE83EF-DC5B-4EAA-9BD2-1FC51A5A157E}" destId="{1C5FCD79-AA11-48AE-938C-48FC2644B350}" srcOrd="1" destOrd="0" presId="urn:microsoft.com/office/officeart/2005/8/layout/arrow6"/>
    <dgm:cxn modelId="{CF67AC16-2887-4EE2-AE1B-F09DA8BEB59B}" type="presParOf" srcId="{75BE83EF-DC5B-4EAA-9BD2-1FC51A5A157E}" destId="{575CADAD-7602-44B4-8FFF-A144CFA9666A}" srcOrd="2" destOrd="0" presId="urn:microsoft.com/office/officeart/2005/8/layout/arrow6"/>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63F5FBA-AD98-458D-B36C-4B180A4213F2}" type="doc">
      <dgm:prSet loTypeId="urn:microsoft.com/office/officeart/2005/8/layout/arrow6" loCatId="process" qsTypeId="urn:microsoft.com/office/officeart/2005/8/quickstyle/simple2" qsCatId="simple" csTypeId="urn:microsoft.com/office/officeart/2005/8/colors/accent1_2" csCatId="accent1" phldr="1"/>
      <dgm:spPr/>
      <dgm:t>
        <a:bodyPr/>
        <a:lstStyle/>
        <a:p>
          <a:endParaRPr lang="en-US"/>
        </a:p>
      </dgm:t>
    </dgm:pt>
    <dgm:pt modelId="{C71299B6-2565-4221-9FFF-21C4B53DDB5F}">
      <dgm:prSet phldrT="[Text]"/>
      <dgm:spPr/>
      <dgm:t>
        <a:bodyPr/>
        <a:lstStyle/>
        <a:p>
          <a:r>
            <a:rPr lang="en-US"/>
            <a:t>SISTEM DC90</a:t>
          </a:r>
        </a:p>
      </dgm:t>
    </dgm:pt>
    <dgm:pt modelId="{0E8B66B0-D34C-411B-8231-784CB71931C3}" type="parTrans" cxnId="{5125E87D-EB8F-4FCC-952A-ED1CE7ED6497}">
      <dgm:prSet/>
      <dgm:spPr/>
      <dgm:t>
        <a:bodyPr/>
        <a:lstStyle/>
        <a:p>
          <a:endParaRPr lang="en-US"/>
        </a:p>
      </dgm:t>
    </dgm:pt>
    <dgm:pt modelId="{96ADFFCC-6834-428E-BCFF-4B4004F1ACAF}" type="sibTrans" cxnId="{5125E87D-EB8F-4FCC-952A-ED1CE7ED6497}">
      <dgm:prSet/>
      <dgm:spPr/>
      <dgm:t>
        <a:bodyPr/>
        <a:lstStyle/>
        <a:p>
          <a:endParaRPr lang="en-US"/>
        </a:p>
      </dgm:t>
    </dgm:pt>
    <dgm:pt modelId="{3CA2B215-67FF-46C9-9A1B-F06414D39346}">
      <dgm:prSet/>
      <dgm:spPr/>
      <dgm:t>
        <a:bodyPr/>
        <a:lstStyle/>
        <a:p>
          <a:r>
            <a:rPr lang="en-US"/>
            <a:t>SISTEM DC90</a:t>
          </a:r>
        </a:p>
      </dgm:t>
    </dgm:pt>
    <dgm:pt modelId="{4588F67F-4D1D-4A75-8101-581E31C36165}" type="parTrans" cxnId="{D50B1B0C-8487-4CC8-AFB4-5043924F9DDA}">
      <dgm:prSet/>
      <dgm:spPr/>
      <dgm:t>
        <a:bodyPr/>
        <a:lstStyle/>
        <a:p>
          <a:endParaRPr lang="en-US"/>
        </a:p>
      </dgm:t>
    </dgm:pt>
    <dgm:pt modelId="{43431F60-DB6E-415B-ABDE-336EACD3DAA1}" type="sibTrans" cxnId="{D50B1B0C-8487-4CC8-AFB4-5043924F9DDA}">
      <dgm:prSet/>
      <dgm:spPr/>
      <dgm:t>
        <a:bodyPr/>
        <a:lstStyle/>
        <a:p>
          <a:endParaRPr lang="en-US"/>
        </a:p>
      </dgm:t>
    </dgm:pt>
    <dgm:pt modelId="{75BE83EF-DC5B-4EAA-9BD2-1FC51A5A157E}" type="pres">
      <dgm:prSet presAssocID="{963F5FBA-AD98-458D-B36C-4B180A4213F2}" presName="compositeShape" presStyleCnt="0">
        <dgm:presLayoutVars>
          <dgm:chMax val="2"/>
          <dgm:dir/>
          <dgm:resizeHandles val="exact"/>
        </dgm:presLayoutVars>
      </dgm:prSet>
      <dgm:spPr/>
      <dgm:t>
        <a:bodyPr/>
        <a:lstStyle/>
        <a:p>
          <a:endParaRPr lang="en-US"/>
        </a:p>
      </dgm:t>
    </dgm:pt>
    <dgm:pt modelId="{E036457C-1173-496D-8AF3-5E3C43A5C672}" type="pres">
      <dgm:prSet presAssocID="{963F5FBA-AD98-458D-B36C-4B180A4213F2}" presName="ribbon" presStyleLbl="node1" presStyleIdx="0" presStyleCnt="1" custScaleX="155556" custLinFactNeighborX="-299"/>
      <dgm:spPr/>
    </dgm:pt>
    <dgm:pt modelId="{1C5FCD79-AA11-48AE-938C-48FC2644B350}" type="pres">
      <dgm:prSet presAssocID="{963F5FBA-AD98-458D-B36C-4B180A4213F2}" presName="leftArrowText" presStyleLbl="node1" presStyleIdx="0" presStyleCnt="1" custScaleX="213676" custLinFactNeighborX="-45978">
        <dgm:presLayoutVars>
          <dgm:chMax val="0"/>
          <dgm:bulletEnabled val="1"/>
        </dgm:presLayoutVars>
      </dgm:prSet>
      <dgm:spPr/>
      <dgm:t>
        <a:bodyPr/>
        <a:lstStyle/>
        <a:p>
          <a:endParaRPr lang="en-US"/>
        </a:p>
      </dgm:t>
    </dgm:pt>
    <dgm:pt modelId="{575CADAD-7602-44B4-8FFF-A144CFA9666A}" type="pres">
      <dgm:prSet presAssocID="{963F5FBA-AD98-458D-B36C-4B180A4213F2}" presName="rightArrowText" presStyleLbl="node1" presStyleIdx="0" presStyleCnt="1" custScaleX="197096" custLinFactNeighborX="33640">
        <dgm:presLayoutVars>
          <dgm:chMax val="0"/>
          <dgm:bulletEnabled val="1"/>
        </dgm:presLayoutVars>
      </dgm:prSet>
      <dgm:spPr/>
      <dgm:t>
        <a:bodyPr/>
        <a:lstStyle/>
        <a:p>
          <a:endParaRPr lang="en-US"/>
        </a:p>
      </dgm:t>
    </dgm:pt>
  </dgm:ptLst>
  <dgm:cxnLst>
    <dgm:cxn modelId="{81FDD868-A4C4-479F-A13D-EE3C1672F8AE}" type="presOf" srcId="{963F5FBA-AD98-458D-B36C-4B180A4213F2}" destId="{75BE83EF-DC5B-4EAA-9BD2-1FC51A5A157E}" srcOrd="0" destOrd="0" presId="urn:microsoft.com/office/officeart/2005/8/layout/arrow6"/>
    <dgm:cxn modelId="{5125E87D-EB8F-4FCC-952A-ED1CE7ED6497}" srcId="{963F5FBA-AD98-458D-B36C-4B180A4213F2}" destId="{C71299B6-2565-4221-9FFF-21C4B53DDB5F}" srcOrd="0" destOrd="0" parTransId="{0E8B66B0-D34C-411B-8231-784CB71931C3}" sibTransId="{96ADFFCC-6834-428E-BCFF-4B4004F1ACAF}"/>
    <dgm:cxn modelId="{753D1D68-A3CB-464A-A8C6-EEEC7E4102B2}" type="presOf" srcId="{C71299B6-2565-4221-9FFF-21C4B53DDB5F}" destId="{1C5FCD79-AA11-48AE-938C-48FC2644B350}" srcOrd="0" destOrd="0" presId="urn:microsoft.com/office/officeart/2005/8/layout/arrow6"/>
    <dgm:cxn modelId="{D50B1B0C-8487-4CC8-AFB4-5043924F9DDA}" srcId="{963F5FBA-AD98-458D-B36C-4B180A4213F2}" destId="{3CA2B215-67FF-46C9-9A1B-F06414D39346}" srcOrd="1" destOrd="0" parTransId="{4588F67F-4D1D-4A75-8101-581E31C36165}" sibTransId="{43431F60-DB6E-415B-ABDE-336EACD3DAA1}"/>
    <dgm:cxn modelId="{4499EEA3-09E0-43FF-B57C-B01511004B6D}" type="presOf" srcId="{3CA2B215-67FF-46C9-9A1B-F06414D39346}" destId="{575CADAD-7602-44B4-8FFF-A144CFA9666A}" srcOrd="0" destOrd="0" presId="urn:microsoft.com/office/officeart/2005/8/layout/arrow6"/>
    <dgm:cxn modelId="{4BEDCF1B-B17E-415B-9FCB-92BA916BAB78}" type="presParOf" srcId="{75BE83EF-DC5B-4EAA-9BD2-1FC51A5A157E}" destId="{E036457C-1173-496D-8AF3-5E3C43A5C672}" srcOrd="0" destOrd="0" presId="urn:microsoft.com/office/officeart/2005/8/layout/arrow6"/>
    <dgm:cxn modelId="{02987FBB-0A75-4D14-9502-10DD2C61000C}" type="presParOf" srcId="{75BE83EF-DC5B-4EAA-9BD2-1FC51A5A157E}" destId="{1C5FCD79-AA11-48AE-938C-48FC2644B350}" srcOrd="1" destOrd="0" presId="urn:microsoft.com/office/officeart/2005/8/layout/arrow6"/>
    <dgm:cxn modelId="{CF54EB9F-EE0D-4427-A420-2193E37D105A}" type="presParOf" srcId="{75BE83EF-DC5B-4EAA-9BD2-1FC51A5A157E}" destId="{575CADAD-7602-44B4-8FFF-A144CFA9666A}" srcOrd="2" destOrd="0" presId="urn:microsoft.com/office/officeart/2005/8/layout/arrow6"/>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63F5FBA-AD98-458D-B36C-4B180A4213F2}" type="doc">
      <dgm:prSet loTypeId="urn:microsoft.com/office/officeart/2005/8/layout/arrow6" loCatId="process" qsTypeId="urn:microsoft.com/office/officeart/2005/8/quickstyle/simple2" qsCatId="simple" csTypeId="urn:microsoft.com/office/officeart/2005/8/colors/accent1_2" csCatId="accent1" phldr="1"/>
      <dgm:spPr/>
      <dgm:t>
        <a:bodyPr/>
        <a:lstStyle/>
        <a:p>
          <a:endParaRPr lang="en-US"/>
        </a:p>
      </dgm:t>
    </dgm:pt>
    <dgm:pt modelId="{C71299B6-2565-4221-9FFF-21C4B53DDB5F}">
      <dgm:prSet phldrT="[Text]"/>
      <dgm:spPr/>
      <dgm:t>
        <a:bodyPr/>
        <a:lstStyle/>
        <a:p>
          <a:r>
            <a:rPr lang="en-US"/>
            <a:t>SISTEM DC90</a:t>
          </a:r>
        </a:p>
      </dgm:t>
    </dgm:pt>
    <dgm:pt modelId="{0E8B66B0-D34C-411B-8231-784CB71931C3}" type="parTrans" cxnId="{5125E87D-EB8F-4FCC-952A-ED1CE7ED6497}">
      <dgm:prSet/>
      <dgm:spPr/>
      <dgm:t>
        <a:bodyPr/>
        <a:lstStyle/>
        <a:p>
          <a:endParaRPr lang="en-US"/>
        </a:p>
      </dgm:t>
    </dgm:pt>
    <dgm:pt modelId="{96ADFFCC-6834-428E-BCFF-4B4004F1ACAF}" type="sibTrans" cxnId="{5125E87D-EB8F-4FCC-952A-ED1CE7ED6497}">
      <dgm:prSet/>
      <dgm:spPr/>
      <dgm:t>
        <a:bodyPr/>
        <a:lstStyle/>
        <a:p>
          <a:endParaRPr lang="en-US"/>
        </a:p>
      </dgm:t>
    </dgm:pt>
    <dgm:pt modelId="{3CA2B215-67FF-46C9-9A1B-F06414D39346}">
      <dgm:prSet/>
      <dgm:spPr/>
      <dgm:t>
        <a:bodyPr/>
        <a:lstStyle/>
        <a:p>
          <a:r>
            <a:rPr lang="en-US"/>
            <a:t>SISTEM DC90</a:t>
          </a:r>
        </a:p>
      </dgm:t>
    </dgm:pt>
    <dgm:pt modelId="{4588F67F-4D1D-4A75-8101-581E31C36165}" type="parTrans" cxnId="{D50B1B0C-8487-4CC8-AFB4-5043924F9DDA}">
      <dgm:prSet/>
      <dgm:spPr/>
      <dgm:t>
        <a:bodyPr/>
        <a:lstStyle/>
        <a:p>
          <a:endParaRPr lang="en-US"/>
        </a:p>
      </dgm:t>
    </dgm:pt>
    <dgm:pt modelId="{43431F60-DB6E-415B-ABDE-336EACD3DAA1}" type="sibTrans" cxnId="{D50B1B0C-8487-4CC8-AFB4-5043924F9DDA}">
      <dgm:prSet/>
      <dgm:spPr/>
      <dgm:t>
        <a:bodyPr/>
        <a:lstStyle/>
        <a:p>
          <a:endParaRPr lang="en-US"/>
        </a:p>
      </dgm:t>
    </dgm:pt>
    <dgm:pt modelId="{75BE83EF-DC5B-4EAA-9BD2-1FC51A5A157E}" type="pres">
      <dgm:prSet presAssocID="{963F5FBA-AD98-458D-B36C-4B180A4213F2}" presName="compositeShape" presStyleCnt="0">
        <dgm:presLayoutVars>
          <dgm:chMax val="2"/>
          <dgm:dir/>
          <dgm:resizeHandles val="exact"/>
        </dgm:presLayoutVars>
      </dgm:prSet>
      <dgm:spPr/>
      <dgm:t>
        <a:bodyPr/>
        <a:lstStyle/>
        <a:p>
          <a:endParaRPr lang="en-US"/>
        </a:p>
      </dgm:t>
    </dgm:pt>
    <dgm:pt modelId="{E036457C-1173-496D-8AF3-5E3C43A5C672}" type="pres">
      <dgm:prSet presAssocID="{963F5FBA-AD98-458D-B36C-4B180A4213F2}" presName="ribbon" presStyleLbl="node1" presStyleIdx="0" presStyleCnt="1" custScaleX="177883" custLinFactNeighborX="-299"/>
      <dgm:spPr/>
    </dgm:pt>
    <dgm:pt modelId="{1C5FCD79-AA11-48AE-938C-48FC2644B350}" type="pres">
      <dgm:prSet presAssocID="{963F5FBA-AD98-458D-B36C-4B180A4213F2}" presName="leftArrowText" presStyleLbl="node1" presStyleIdx="0" presStyleCnt="1" custScaleX="235981" custLinFactNeighborX="-55575">
        <dgm:presLayoutVars>
          <dgm:chMax val="0"/>
          <dgm:bulletEnabled val="1"/>
        </dgm:presLayoutVars>
      </dgm:prSet>
      <dgm:spPr/>
      <dgm:t>
        <a:bodyPr/>
        <a:lstStyle/>
        <a:p>
          <a:endParaRPr lang="en-US"/>
        </a:p>
      </dgm:t>
    </dgm:pt>
    <dgm:pt modelId="{575CADAD-7602-44B4-8FFF-A144CFA9666A}" type="pres">
      <dgm:prSet presAssocID="{963F5FBA-AD98-458D-B36C-4B180A4213F2}" presName="rightArrowText" presStyleLbl="node1" presStyleIdx="0" presStyleCnt="1" custScaleX="201427" custLinFactNeighborX="29000">
        <dgm:presLayoutVars>
          <dgm:chMax val="0"/>
          <dgm:bulletEnabled val="1"/>
        </dgm:presLayoutVars>
      </dgm:prSet>
      <dgm:spPr/>
      <dgm:t>
        <a:bodyPr/>
        <a:lstStyle/>
        <a:p>
          <a:endParaRPr lang="en-US"/>
        </a:p>
      </dgm:t>
    </dgm:pt>
  </dgm:ptLst>
  <dgm:cxnLst>
    <dgm:cxn modelId="{124E8819-80F1-4CC2-8C8B-D487B8A2967F}" type="presOf" srcId="{963F5FBA-AD98-458D-B36C-4B180A4213F2}" destId="{75BE83EF-DC5B-4EAA-9BD2-1FC51A5A157E}" srcOrd="0" destOrd="0" presId="urn:microsoft.com/office/officeart/2005/8/layout/arrow6"/>
    <dgm:cxn modelId="{A9FFEC5E-1A7A-457E-9620-58A817D72C7D}" type="presOf" srcId="{C71299B6-2565-4221-9FFF-21C4B53DDB5F}" destId="{1C5FCD79-AA11-48AE-938C-48FC2644B350}" srcOrd="0" destOrd="0" presId="urn:microsoft.com/office/officeart/2005/8/layout/arrow6"/>
    <dgm:cxn modelId="{ADC4F256-887E-4571-9504-B4915D00B1C1}" type="presOf" srcId="{3CA2B215-67FF-46C9-9A1B-F06414D39346}" destId="{575CADAD-7602-44B4-8FFF-A144CFA9666A}" srcOrd="0" destOrd="0" presId="urn:microsoft.com/office/officeart/2005/8/layout/arrow6"/>
    <dgm:cxn modelId="{5125E87D-EB8F-4FCC-952A-ED1CE7ED6497}" srcId="{963F5FBA-AD98-458D-B36C-4B180A4213F2}" destId="{C71299B6-2565-4221-9FFF-21C4B53DDB5F}" srcOrd="0" destOrd="0" parTransId="{0E8B66B0-D34C-411B-8231-784CB71931C3}" sibTransId="{96ADFFCC-6834-428E-BCFF-4B4004F1ACAF}"/>
    <dgm:cxn modelId="{D50B1B0C-8487-4CC8-AFB4-5043924F9DDA}" srcId="{963F5FBA-AD98-458D-B36C-4B180A4213F2}" destId="{3CA2B215-67FF-46C9-9A1B-F06414D39346}" srcOrd="1" destOrd="0" parTransId="{4588F67F-4D1D-4A75-8101-581E31C36165}" sibTransId="{43431F60-DB6E-415B-ABDE-336EACD3DAA1}"/>
    <dgm:cxn modelId="{E9AC48FA-710E-45DF-BDCF-1AD348C60A13}" type="presParOf" srcId="{75BE83EF-DC5B-4EAA-9BD2-1FC51A5A157E}" destId="{E036457C-1173-496D-8AF3-5E3C43A5C672}" srcOrd="0" destOrd="0" presId="urn:microsoft.com/office/officeart/2005/8/layout/arrow6"/>
    <dgm:cxn modelId="{5B496986-A988-48A0-8D80-53B4BFFABBA6}" type="presParOf" srcId="{75BE83EF-DC5B-4EAA-9BD2-1FC51A5A157E}" destId="{1C5FCD79-AA11-48AE-938C-48FC2644B350}" srcOrd="1" destOrd="0" presId="urn:microsoft.com/office/officeart/2005/8/layout/arrow6"/>
    <dgm:cxn modelId="{39EBC249-ECC7-4834-B9EC-70429D2E75A8}" type="presParOf" srcId="{75BE83EF-DC5B-4EAA-9BD2-1FC51A5A157E}" destId="{575CADAD-7602-44B4-8FFF-A144CFA9666A}" srcOrd="2" destOrd="0" presId="urn:microsoft.com/office/officeart/2005/8/layout/arrow6"/>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63F5FBA-AD98-458D-B36C-4B180A4213F2}" type="doc">
      <dgm:prSet loTypeId="urn:microsoft.com/office/officeart/2005/8/layout/arrow6" loCatId="process" qsTypeId="urn:microsoft.com/office/officeart/2005/8/quickstyle/simple2" qsCatId="simple" csTypeId="urn:microsoft.com/office/officeart/2005/8/colors/accent1_2" csCatId="accent1" phldr="1"/>
      <dgm:spPr/>
      <dgm:t>
        <a:bodyPr/>
        <a:lstStyle/>
        <a:p>
          <a:endParaRPr lang="en-US"/>
        </a:p>
      </dgm:t>
    </dgm:pt>
    <dgm:pt modelId="{C71299B6-2565-4221-9FFF-21C4B53DDB5F}">
      <dgm:prSet phldrT="[Text]"/>
      <dgm:spPr/>
      <dgm:t>
        <a:bodyPr/>
        <a:lstStyle/>
        <a:p>
          <a:r>
            <a:rPr lang="en-US"/>
            <a:t>SISTEM DC90</a:t>
          </a:r>
        </a:p>
      </dgm:t>
    </dgm:pt>
    <dgm:pt modelId="{0E8B66B0-D34C-411B-8231-784CB71931C3}" type="parTrans" cxnId="{5125E87D-EB8F-4FCC-952A-ED1CE7ED6497}">
      <dgm:prSet/>
      <dgm:spPr/>
      <dgm:t>
        <a:bodyPr/>
        <a:lstStyle/>
        <a:p>
          <a:endParaRPr lang="en-US"/>
        </a:p>
      </dgm:t>
    </dgm:pt>
    <dgm:pt modelId="{96ADFFCC-6834-428E-BCFF-4B4004F1ACAF}" type="sibTrans" cxnId="{5125E87D-EB8F-4FCC-952A-ED1CE7ED6497}">
      <dgm:prSet/>
      <dgm:spPr/>
      <dgm:t>
        <a:bodyPr/>
        <a:lstStyle/>
        <a:p>
          <a:endParaRPr lang="en-US"/>
        </a:p>
      </dgm:t>
    </dgm:pt>
    <dgm:pt modelId="{3CA2B215-67FF-46C9-9A1B-F06414D39346}">
      <dgm:prSet/>
      <dgm:spPr/>
      <dgm:t>
        <a:bodyPr/>
        <a:lstStyle/>
        <a:p>
          <a:r>
            <a:rPr lang="en-US"/>
            <a:t>SISTEM DC90</a:t>
          </a:r>
        </a:p>
      </dgm:t>
    </dgm:pt>
    <dgm:pt modelId="{4588F67F-4D1D-4A75-8101-581E31C36165}" type="parTrans" cxnId="{D50B1B0C-8487-4CC8-AFB4-5043924F9DDA}">
      <dgm:prSet/>
      <dgm:spPr/>
      <dgm:t>
        <a:bodyPr/>
        <a:lstStyle/>
        <a:p>
          <a:endParaRPr lang="en-US"/>
        </a:p>
      </dgm:t>
    </dgm:pt>
    <dgm:pt modelId="{43431F60-DB6E-415B-ABDE-336EACD3DAA1}" type="sibTrans" cxnId="{D50B1B0C-8487-4CC8-AFB4-5043924F9DDA}">
      <dgm:prSet/>
      <dgm:spPr/>
      <dgm:t>
        <a:bodyPr/>
        <a:lstStyle/>
        <a:p>
          <a:endParaRPr lang="en-US"/>
        </a:p>
      </dgm:t>
    </dgm:pt>
    <dgm:pt modelId="{75BE83EF-DC5B-4EAA-9BD2-1FC51A5A157E}" type="pres">
      <dgm:prSet presAssocID="{963F5FBA-AD98-458D-B36C-4B180A4213F2}" presName="compositeShape" presStyleCnt="0">
        <dgm:presLayoutVars>
          <dgm:chMax val="2"/>
          <dgm:dir/>
          <dgm:resizeHandles val="exact"/>
        </dgm:presLayoutVars>
      </dgm:prSet>
      <dgm:spPr/>
      <dgm:t>
        <a:bodyPr/>
        <a:lstStyle/>
        <a:p>
          <a:endParaRPr lang="en-US"/>
        </a:p>
      </dgm:t>
    </dgm:pt>
    <dgm:pt modelId="{E036457C-1173-496D-8AF3-5E3C43A5C672}" type="pres">
      <dgm:prSet presAssocID="{963F5FBA-AD98-458D-B36C-4B180A4213F2}" presName="ribbon" presStyleLbl="node1" presStyleIdx="0" presStyleCnt="1" custScaleX="204436" custLinFactNeighborX="-299"/>
      <dgm:spPr/>
    </dgm:pt>
    <dgm:pt modelId="{1C5FCD79-AA11-48AE-938C-48FC2644B350}" type="pres">
      <dgm:prSet presAssocID="{963F5FBA-AD98-458D-B36C-4B180A4213F2}" presName="leftArrowText" presStyleLbl="node1" presStyleIdx="0" presStyleCnt="1" custScaleX="183194" custLinFactNeighborX="-49062">
        <dgm:presLayoutVars>
          <dgm:chMax val="0"/>
          <dgm:bulletEnabled val="1"/>
        </dgm:presLayoutVars>
      </dgm:prSet>
      <dgm:spPr/>
      <dgm:t>
        <a:bodyPr/>
        <a:lstStyle/>
        <a:p>
          <a:endParaRPr lang="en-US"/>
        </a:p>
      </dgm:t>
    </dgm:pt>
    <dgm:pt modelId="{575CADAD-7602-44B4-8FFF-A144CFA9666A}" type="pres">
      <dgm:prSet presAssocID="{963F5FBA-AD98-458D-B36C-4B180A4213F2}" presName="rightArrowText" presStyleLbl="node1" presStyleIdx="0" presStyleCnt="1" custScaleX="166051" custLinFactNeighborX="18343">
        <dgm:presLayoutVars>
          <dgm:chMax val="0"/>
          <dgm:bulletEnabled val="1"/>
        </dgm:presLayoutVars>
      </dgm:prSet>
      <dgm:spPr/>
      <dgm:t>
        <a:bodyPr/>
        <a:lstStyle/>
        <a:p>
          <a:endParaRPr lang="en-US"/>
        </a:p>
      </dgm:t>
    </dgm:pt>
  </dgm:ptLst>
  <dgm:cxnLst>
    <dgm:cxn modelId="{D9262483-5704-4F0D-8AAB-0B6BE57793AF}" type="presOf" srcId="{963F5FBA-AD98-458D-B36C-4B180A4213F2}" destId="{75BE83EF-DC5B-4EAA-9BD2-1FC51A5A157E}" srcOrd="0" destOrd="0" presId="urn:microsoft.com/office/officeart/2005/8/layout/arrow6"/>
    <dgm:cxn modelId="{0B1B7BAE-3212-4393-AE0A-D56E7F3AF42F}" type="presOf" srcId="{3CA2B215-67FF-46C9-9A1B-F06414D39346}" destId="{575CADAD-7602-44B4-8FFF-A144CFA9666A}" srcOrd="0" destOrd="0" presId="urn:microsoft.com/office/officeart/2005/8/layout/arrow6"/>
    <dgm:cxn modelId="{5125E87D-EB8F-4FCC-952A-ED1CE7ED6497}" srcId="{963F5FBA-AD98-458D-B36C-4B180A4213F2}" destId="{C71299B6-2565-4221-9FFF-21C4B53DDB5F}" srcOrd="0" destOrd="0" parTransId="{0E8B66B0-D34C-411B-8231-784CB71931C3}" sibTransId="{96ADFFCC-6834-428E-BCFF-4B4004F1ACAF}"/>
    <dgm:cxn modelId="{D50B1B0C-8487-4CC8-AFB4-5043924F9DDA}" srcId="{963F5FBA-AD98-458D-B36C-4B180A4213F2}" destId="{3CA2B215-67FF-46C9-9A1B-F06414D39346}" srcOrd="1" destOrd="0" parTransId="{4588F67F-4D1D-4A75-8101-581E31C36165}" sibTransId="{43431F60-DB6E-415B-ABDE-336EACD3DAA1}"/>
    <dgm:cxn modelId="{38199645-D253-4434-BBF2-D070AA63A158}" type="presOf" srcId="{C71299B6-2565-4221-9FFF-21C4B53DDB5F}" destId="{1C5FCD79-AA11-48AE-938C-48FC2644B350}" srcOrd="0" destOrd="0" presId="urn:microsoft.com/office/officeart/2005/8/layout/arrow6"/>
    <dgm:cxn modelId="{0DBF870A-433E-4735-AB94-5C3F7783FA1F}" type="presParOf" srcId="{75BE83EF-DC5B-4EAA-9BD2-1FC51A5A157E}" destId="{E036457C-1173-496D-8AF3-5E3C43A5C672}" srcOrd="0" destOrd="0" presId="urn:microsoft.com/office/officeart/2005/8/layout/arrow6"/>
    <dgm:cxn modelId="{8D8E69A9-C87E-4F19-8895-8BF04B7132B9}" type="presParOf" srcId="{75BE83EF-DC5B-4EAA-9BD2-1FC51A5A157E}" destId="{1C5FCD79-AA11-48AE-938C-48FC2644B350}" srcOrd="1" destOrd="0" presId="urn:microsoft.com/office/officeart/2005/8/layout/arrow6"/>
    <dgm:cxn modelId="{284321D7-D384-4F17-A0E3-35C7740B0026}" type="presParOf" srcId="{75BE83EF-DC5B-4EAA-9BD2-1FC51A5A157E}" destId="{575CADAD-7602-44B4-8FFF-A144CFA9666A}" srcOrd="2" destOrd="0" presId="urn:microsoft.com/office/officeart/2005/8/layout/arrow6"/>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963F5FBA-AD98-458D-B36C-4B180A4213F2}" type="doc">
      <dgm:prSet loTypeId="urn:microsoft.com/office/officeart/2005/8/layout/arrow6" loCatId="process" qsTypeId="urn:microsoft.com/office/officeart/2005/8/quickstyle/simple2" qsCatId="simple" csTypeId="urn:microsoft.com/office/officeart/2005/8/colors/accent1_2" csCatId="accent1" phldr="1"/>
      <dgm:spPr/>
      <dgm:t>
        <a:bodyPr/>
        <a:lstStyle/>
        <a:p>
          <a:endParaRPr lang="en-US"/>
        </a:p>
      </dgm:t>
    </dgm:pt>
    <dgm:pt modelId="{C71299B6-2565-4221-9FFF-21C4B53DDB5F}">
      <dgm:prSet phldrT="[Text]"/>
      <dgm:spPr/>
      <dgm:t>
        <a:bodyPr/>
        <a:lstStyle/>
        <a:p>
          <a:r>
            <a:rPr lang="en-US"/>
            <a:t>SISTEM DC90</a:t>
          </a:r>
        </a:p>
      </dgm:t>
    </dgm:pt>
    <dgm:pt modelId="{0E8B66B0-D34C-411B-8231-784CB71931C3}" type="parTrans" cxnId="{5125E87D-EB8F-4FCC-952A-ED1CE7ED6497}">
      <dgm:prSet/>
      <dgm:spPr/>
      <dgm:t>
        <a:bodyPr/>
        <a:lstStyle/>
        <a:p>
          <a:endParaRPr lang="en-US"/>
        </a:p>
      </dgm:t>
    </dgm:pt>
    <dgm:pt modelId="{96ADFFCC-6834-428E-BCFF-4B4004F1ACAF}" type="sibTrans" cxnId="{5125E87D-EB8F-4FCC-952A-ED1CE7ED6497}">
      <dgm:prSet/>
      <dgm:spPr/>
      <dgm:t>
        <a:bodyPr/>
        <a:lstStyle/>
        <a:p>
          <a:endParaRPr lang="en-US"/>
        </a:p>
      </dgm:t>
    </dgm:pt>
    <dgm:pt modelId="{3CA2B215-67FF-46C9-9A1B-F06414D39346}">
      <dgm:prSet/>
      <dgm:spPr/>
      <dgm:t>
        <a:bodyPr/>
        <a:lstStyle/>
        <a:p>
          <a:r>
            <a:rPr lang="en-US"/>
            <a:t>SISTEM DC90</a:t>
          </a:r>
        </a:p>
      </dgm:t>
    </dgm:pt>
    <dgm:pt modelId="{4588F67F-4D1D-4A75-8101-581E31C36165}" type="parTrans" cxnId="{D50B1B0C-8487-4CC8-AFB4-5043924F9DDA}">
      <dgm:prSet/>
      <dgm:spPr/>
      <dgm:t>
        <a:bodyPr/>
        <a:lstStyle/>
        <a:p>
          <a:endParaRPr lang="en-US"/>
        </a:p>
      </dgm:t>
    </dgm:pt>
    <dgm:pt modelId="{43431F60-DB6E-415B-ABDE-336EACD3DAA1}" type="sibTrans" cxnId="{D50B1B0C-8487-4CC8-AFB4-5043924F9DDA}">
      <dgm:prSet/>
      <dgm:spPr/>
      <dgm:t>
        <a:bodyPr/>
        <a:lstStyle/>
        <a:p>
          <a:endParaRPr lang="en-US"/>
        </a:p>
      </dgm:t>
    </dgm:pt>
    <dgm:pt modelId="{75BE83EF-DC5B-4EAA-9BD2-1FC51A5A157E}" type="pres">
      <dgm:prSet presAssocID="{963F5FBA-AD98-458D-B36C-4B180A4213F2}" presName="compositeShape" presStyleCnt="0">
        <dgm:presLayoutVars>
          <dgm:chMax val="2"/>
          <dgm:dir/>
          <dgm:resizeHandles val="exact"/>
        </dgm:presLayoutVars>
      </dgm:prSet>
      <dgm:spPr/>
      <dgm:t>
        <a:bodyPr/>
        <a:lstStyle/>
        <a:p>
          <a:endParaRPr lang="en-US"/>
        </a:p>
      </dgm:t>
    </dgm:pt>
    <dgm:pt modelId="{E036457C-1173-496D-8AF3-5E3C43A5C672}" type="pres">
      <dgm:prSet presAssocID="{963F5FBA-AD98-458D-B36C-4B180A4213F2}" presName="ribbon" presStyleLbl="node1" presStyleIdx="0" presStyleCnt="1" custScaleX="192805" custLinFactNeighborX="-299"/>
      <dgm:spPr/>
    </dgm:pt>
    <dgm:pt modelId="{1C5FCD79-AA11-48AE-938C-48FC2644B350}" type="pres">
      <dgm:prSet presAssocID="{963F5FBA-AD98-458D-B36C-4B180A4213F2}" presName="leftArrowText" presStyleLbl="node1" presStyleIdx="0" presStyleCnt="1" custScaleX="189708" custLinFactNeighborX="-41412">
        <dgm:presLayoutVars>
          <dgm:chMax val="0"/>
          <dgm:bulletEnabled val="1"/>
        </dgm:presLayoutVars>
      </dgm:prSet>
      <dgm:spPr/>
      <dgm:t>
        <a:bodyPr/>
        <a:lstStyle/>
        <a:p>
          <a:endParaRPr lang="en-US"/>
        </a:p>
      </dgm:t>
    </dgm:pt>
    <dgm:pt modelId="{575CADAD-7602-44B4-8FFF-A144CFA9666A}" type="pres">
      <dgm:prSet presAssocID="{963F5FBA-AD98-458D-B36C-4B180A4213F2}" presName="rightArrowText" presStyleLbl="node1" presStyleIdx="0" presStyleCnt="1" custScaleX="163461" custLinFactNeighborX="16185" custLinFactNeighborY="2147">
        <dgm:presLayoutVars>
          <dgm:chMax val="0"/>
          <dgm:bulletEnabled val="1"/>
        </dgm:presLayoutVars>
      </dgm:prSet>
      <dgm:spPr/>
      <dgm:t>
        <a:bodyPr/>
        <a:lstStyle/>
        <a:p>
          <a:endParaRPr lang="en-US"/>
        </a:p>
      </dgm:t>
    </dgm:pt>
  </dgm:ptLst>
  <dgm:cxnLst>
    <dgm:cxn modelId="{7E9BB11B-C0D4-4AC0-AAF2-1C71C921BBC7}" type="presOf" srcId="{3CA2B215-67FF-46C9-9A1B-F06414D39346}" destId="{575CADAD-7602-44B4-8FFF-A144CFA9666A}" srcOrd="0" destOrd="0" presId="urn:microsoft.com/office/officeart/2005/8/layout/arrow6"/>
    <dgm:cxn modelId="{5125E87D-EB8F-4FCC-952A-ED1CE7ED6497}" srcId="{963F5FBA-AD98-458D-B36C-4B180A4213F2}" destId="{C71299B6-2565-4221-9FFF-21C4B53DDB5F}" srcOrd="0" destOrd="0" parTransId="{0E8B66B0-D34C-411B-8231-784CB71931C3}" sibTransId="{96ADFFCC-6834-428E-BCFF-4B4004F1ACAF}"/>
    <dgm:cxn modelId="{56BC571C-A73A-4A8E-9244-CFCE44B2E579}" type="presOf" srcId="{963F5FBA-AD98-458D-B36C-4B180A4213F2}" destId="{75BE83EF-DC5B-4EAA-9BD2-1FC51A5A157E}" srcOrd="0" destOrd="0" presId="urn:microsoft.com/office/officeart/2005/8/layout/arrow6"/>
    <dgm:cxn modelId="{D50B1B0C-8487-4CC8-AFB4-5043924F9DDA}" srcId="{963F5FBA-AD98-458D-B36C-4B180A4213F2}" destId="{3CA2B215-67FF-46C9-9A1B-F06414D39346}" srcOrd="1" destOrd="0" parTransId="{4588F67F-4D1D-4A75-8101-581E31C36165}" sibTransId="{43431F60-DB6E-415B-ABDE-336EACD3DAA1}"/>
    <dgm:cxn modelId="{6A8626C9-88F9-4212-8376-0B3A42DCBD1D}" type="presOf" srcId="{C71299B6-2565-4221-9FFF-21C4B53DDB5F}" destId="{1C5FCD79-AA11-48AE-938C-48FC2644B350}" srcOrd="0" destOrd="0" presId="urn:microsoft.com/office/officeart/2005/8/layout/arrow6"/>
    <dgm:cxn modelId="{7BFA8065-0E0B-45E1-BD3F-FBB90CA4483E}" type="presParOf" srcId="{75BE83EF-DC5B-4EAA-9BD2-1FC51A5A157E}" destId="{E036457C-1173-496D-8AF3-5E3C43A5C672}" srcOrd="0" destOrd="0" presId="urn:microsoft.com/office/officeart/2005/8/layout/arrow6"/>
    <dgm:cxn modelId="{2FF131CB-0FE8-4E12-8A62-F8DD5FAB047B}" type="presParOf" srcId="{75BE83EF-DC5B-4EAA-9BD2-1FC51A5A157E}" destId="{1C5FCD79-AA11-48AE-938C-48FC2644B350}" srcOrd="1" destOrd="0" presId="urn:microsoft.com/office/officeart/2005/8/layout/arrow6"/>
    <dgm:cxn modelId="{9B9A1A14-1225-49E5-A877-205542BAE5AD}" type="presParOf" srcId="{75BE83EF-DC5B-4EAA-9BD2-1FC51A5A157E}" destId="{575CADAD-7602-44B4-8FFF-A144CFA9666A}" srcOrd="2" destOrd="0" presId="urn:microsoft.com/office/officeart/2005/8/layout/arrow6"/>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963F5FBA-AD98-458D-B36C-4B180A4213F2}" type="doc">
      <dgm:prSet loTypeId="urn:microsoft.com/office/officeart/2005/8/layout/arrow6" loCatId="process" qsTypeId="urn:microsoft.com/office/officeart/2005/8/quickstyle/simple2" qsCatId="simple" csTypeId="urn:microsoft.com/office/officeart/2005/8/colors/accent1_2" csCatId="accent1" phldr="1"/>
      <dgm:spPr/>
      <dgm:t>
        <a:bodyPr/>
        <a:lstStyle/>
        <a:p>
          <a:endParaRPr lang="en-US"/>
        </a:p>
      </dgm:t>
    </dgm:pt>
    <dgm:pt modelId="{C71299B6-2565-4221-9FFF-21C4B53DDB5F}">
      <dgm:prSet phldrT="[Text]"/>
      <dgm:spPr/>
      <dgm:t>
        <a:bodyPr/>
        <a:lstStyle/>
        <a:p>
          <a:r>
            <a:rPr lang="en-US"/>
            <a:t>SISTEM DC90</a:t>
          </a:r>
        </a:p>
      </dgm:t>
    </dgm:pt>
    <dgm:pt modelId="{0E8B66B0-D34C-411B-8231-784CB71931C3}" type="parTrans" cxnId="{5125E87D-EB8F-4FCC-952A-ED1CE7ED6497}">
      <dgm:prSet/>
      <dgm:spPr/>
      <dgm:t>
        <a:bodyPr/>
        <a:lstStyle/>
        <a:p>
          <a:endParaRPr lang="en-US"/>
        </a:p>
      </dgm:t>
    </dgm:pt>
    <dgm:pt modelId="{96ADFFCC-6834-428E-BCFF-4B4004F1ACAF}" type="sibTrans" cxnId="{5125E87D-EB8F-4FCC-952A-ED1CE7ED6497}">
      <dgm:prSet/>
      <dgm:spPr/>
      <dgm:t>
        <a:bodyPr/>
        <a:lstStyle/>
        <a:p>
          <a:endParaRPr lang="en-US"/>
        </a:p>
      </dgm:t>
    </dgm:pt>
    <dgm:pt modelId="{3CA2B215-67FF-46C9-9A1B-F06414D39346}">
      <dgm:prSet/>
      <dgm:spPr/>
      <dgm:t>
        <a:bodyPr/>
        <a:lstStyle/>
        <a:p>
          <a:r>
            <a:rPr lang="en-US"/>
            <a:t>SISTEM DC90</a:t>
          </a:r>
        </a:p>
      </dgm:t>
    </dgm:pt>
    <dgm:pt modelId="{4588F67F-4D1D-4A75-8101-581E31C36165}" type="parTrans" cxnId="{D50B1B0C-8487-4CC8-AFB4-5043924F9DDA}">
      <dgm:prSet/>
      <dgm:spPr/>
      <dgm:t>
        <a:bodyPr/>
        <a:lstStyle/>
        <a:p>
          <a:endParaRPr lang="en-US"/>
        </a:p>
      </dgm:t>
    </dgm:pt>
    <dgm:pt modelId="{43431F60-DB6E-415B-ABDE-336EACD3DAA1}" type="sibTrans" cxnId="{D50B1B0C-8487-4CC8-AFB4-5043924F9DDA}">
      <dgm:prSet/>
      <dgm:spPr/>
      <dgm:t>
        <a:bodyPr/>
        <a:lstStyle/>
        <a:p>
          <a:endParaRPr lang="en-US"/>
        </a:p>
      </dgm:t>
    </dgm:pt>
    <dgm:pt modelId="{75BE83EF-DC5B-4EAA-9BD2-1FC51A5A157E}" type="pres">
      <dgm:prSet presAssocID="{963F5FBA-AD98-458D-B36C-4B180A4213F2}" presName="compositeShape" presStyleCnt="0">
        <dgm:presLayoutVars>
          <dgm:chMax val="2"/>
          <dgm:dir/>
          <dgm:resizeHandles val="exact"/>
        </dgm:presLayoutVars>
      </dgm:prSet>
      <dgm:spPr/>
      <dgm:t>
        <a:bodyPr/>
        <a:lstStyle/>
        <a:p>
          <a:endParaRPr lang="en-US"/>
        </a:p>
      </dgm:t>
    </dgm:pt>
    <dgm:pt modelId="{E036457C-1173-496D-8AF3-5E3C43A5C672}" type="pres">
      <dgm:prSet presAssocID="{963F5FBA-AD98-458D-B36C-4B180A4213F2}" presName="ribbon" presStyleLbl="node1" presStyleIdx="0" presStyleCnt="1" custScaleX="179007" custLinFactNeighborX="-299"/>
      <dgm:spPr/>
    </dgm:pt>
    <dgm:pt modelId="{1C5FCD79-AA11-48AE-938C-48FC2644B350}" type="pres">
      <dgm:prSet presAssocID="{963F5FBA-AD98-458D-B36C-4B180A4213F2}" presName="leftArrowText" presStyleLbl="node1" presStyleIdx="0" presStyleCnt="1" custScaleX="198041" custLinFactNeighborX="-43962">
        <dgm:presLayoutVars>
          <dgm:chMax val="0"/>
          <dgm:bulletEnabled val="1"/>
        </dgm:presLayoutVars>
      </dgm:prSet>
      <dgm:spPr/>
      <dgm:t>
        <a:bodyPr/>
        <a:lstStyle/>
        <a:p>
          <a:endParaRPr lang="en-US"/>
        </a:p>
      </dgm:t>
    </dgm:pt>
    <dgm:pt modelId="{575CADAD-7602-44B4-8FFF-A144CFA9666A}" type="pres">
      <dgm:prSet presAssocID="{963F5FBA-AD98-458D-B36C-4B180A4213F2}" presName="rightArrowText" presStyleLbl="node1" presStyleIdx="0" presStyleCnt="1" custScaleX="186627" custLinFactNeighborX="22659">
        <dgm:presLayoutVars>
          <dgm:chMax val="0"/>
          <dgm:bulletEnabled val="1"/>
        </dgm:presLayoutVars>
      </dgm:prSet>
      <dgm:spPr/>
      <dgm:t>
        <a:bodyPr/>
        <a:lstStyle/>
        <a:p>
          <a:endParaRPr lang="en-US"/>
        </a:p>
      </dgm:t>
    </dgm:pt>
  </dgm:ptLst>
  <dgm:cxnLst>
    <dgm:cxn modelId="{BDEECB62-99B6-4FE3-81AD-4936A2213F16}" type="presOf" srcId="{C71299B6-2565-4221-9FFF-21C4B53DDB5F}" destId="{1C5FCD79-AA11-48AE-938C-48FC2644B350}" srcOrd="0" destOrd="0" presId="urn:microsoft.com/office/officeart/2005/8/layout/arrow6"/>
    <dgm:cxn modelId="{E4682935-12E2-4132-B8A8-A1E238D78D98}" type="presOf" srcId="{3CA2B215-67FF-46C9-9A1B-F06414D39346}" destId="{575CADAD-7602-44B4-8FFF-A144CFA9666A}" srcOrd="0" destOrd="0" presId="urn:microsoft.com/office/officeart/2005/8/layout/arrow6"/>
    <dgm:cxn modelId="{50026996-F2A9-4F0D-94CC-0A297F8F7C62}" type="presOf" srcId="{963F5FBA-AD98-458D-B36C-4B180A4213F2}" destId="{75BE83EF-DC5B-4EAA-9BD2-1FC51A5A157E}" srcOrd="0" destOrd="0" presId="urn:microsoft.com/office/officeart/2005/8/layout/arrow6"/>
    <dgm:cxn modelId="{5125E87D-EB8F-4FCC-952A-ED1CE7ED6497}" srcId="{963F5FBA-AD98-458D-B36C-4B180A4213F2}" destId="{C71299B6-2565-4221-9FFF-21C4B53DDB5F}" srcOrd="0" destOrd="0" parTransId="{0E8B66B0-D34C-411B-8231-784CB71931C3}" sibTransId="{96ADFFCC-6834-428E-BCFF-4B4004F1ACAF}"/>
    <dgm:cxn modelId="{D50B1B0C-8487-4CC8-AFB4-5043924F9DDA}" srcId="{963F5FBA-AD98-458D-B36C-4B180A4213F2}" destId="{3CA2B215-67FF-46C9-9A1B-F06414D39346}" srcOrd="1" destOrd="0" parTransId="{4588F67F-4D1D-4A75-8101-581E31C36165}" sibTransId="{43431F60-DB6E-415B-ABDE-336EACD3DAA1}"/>
    <dgm:cxn modelId="{DEA08919-DE5C-4B6F-9C40-48FFC402D773}" type="presParOf" srcId="{75BE83EF-DC5B-4EAA-9BD2-1FC51A5A157E}" destId="{E036457C-1173-496D-8AF3-5E3C43A5C672}" srcOrd="0" destOrd="0" presId="urn:microsoft.com/office/officeart/2005/8/layout/arrow6"/>
    <dgm:cxn modelId="{F0E53AAA-B9B5-495A-99D6-4D3C2CD20DEB}" type="presParOf" srcId="{75BE83EF-DC5B-4EAA-9BD2-1FC51A5A157E}" destId="{1C5FCD79-AA11-48AE-938C-48FC2644B350}" srcOrd="1" destOrd="0" presId="urn:microsoft.com/office/officeart/2005/8/layout/arrow6"/>
    <dgm:cxn modelId="{CB4D248E-0716-4E74-8A82-CA52B08E150B}" type="presParOf" srcId="{75BE83EF-DC5B-4EAA-9BD2-1FC51A5A157E}" destId="{575CADAD-7602-44B4-8FFF-A144CFA9666A}" srcOrd="2" destOrd="0" presId="urn:microsoft.com/office/officeart/2005/8/layout/arrow6"/>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963F5FBA-AD98-458D-B36C-4B180A4213F2}" type="doc">
      <dgm:prSet loTypeId="urn:microsoft.com/office/officeart/2005/8/layout/arrow6" loCatId="process" qsTypeId="urn:microsoft.com/office/officeart/2005/8/quickstyle/simple2" qsCatId="simple" csTypeId="urn:microsoft.com/office/officeart/2005/8/colors/accent1_2" csCatId="accent1" phldr="1"/>
      <dgm:spPr/>
      <dgm:t>
        <a:bodyPr/>
        <a:lstStyle/>
        <a:p>
          <a:endParaRPr lang="en-US"/>
        </a:p>
      </dgm:t>
    </dgm:pt>
    <dgm:pt modelId="{C71299B6-2565-4221-9FFF-21C4B53DDB5F}">
      <dgm:prSet phldrT="[Text]"/>
      <dgm:spPr/>
      <dgm:t>
        <a:bodyPr/>
        <a:lstStyle/>
        <a:p>
          <a:r>
            <a:rPr lang="en-US"/>
            <a:t>SISTEM DC90</a:t>
          </a:r>
        </a:p>
      </dgm:t>
    </dgm:pt>
    <dgm:pt modelId="{0E8B66B0-D34C-411B-8231-784CB71931C3}" type="parTrans" cxnId="{5125E87D-EB8F-4FCC-952A-ED1CE7ED6497}">
      <dgm:prSet/>
      <dgm:spPr/>
      <dgm:t>
        <a:bodyPr/>
        <a:lstStyle/>
        <a:p>
          <a:endParaRPr lang="en-US"/>
        </a:p>
      </dgm:t>
    </dgm:pt>
    <dgm:pt modelId="{96ADFFCC-6834-428E-BCFF-4B4004F1ACAF}" type="sibTrans" cxnId="{5125E87D-EB8F-4FCC-952A-ED1CE7ED6497}">
      <dgm:prSet/>
      <dgm:spPr/>
      <dgm:t>
        <a:bodyPr/>
        <a:lstStyle/>
        <a:p>
          <a:endParaRPr lang="en-US"/>
        </a:p>
      </dgm:t>
    </dgm:pt>
    <dgm:pt modelId="{3CA2B215-67FF-46C9-9A1B-F06414D39346}">
      <dgm:prSet/>
      <dgm:spPr/>
      <dgm:t>
        <a:bodyPr/>
        <a:lstStyle/>
        <a:p>
          <a:endParaRPr lang="en-US"/>
        </a:p>
      </dgm:t>
    </dgm:pt>
    <dgm:pt modelId="{4588F67F-4D1D-4A75-8101-581E31C36165}" type="parTrans" cxnId="{D50B1B0C-8487-4CC8-AFB4-5043924F9DDA}">
      <dgm:prSet/>
      <dgm:spPr/>
      <dgm:t>
        <a:bodyPr/>
        <a:lstStyle/>
        <a:p>
          <a:endParaRPr lang="en-US"/>
        </a:p>
      </dgm:t>
    </dgm:pt>
    <dgm:pt modelId="{43431F60-DB6E-415B-ABDE-336EACD3DAA1}" type="sibTrans" cxnId="{D50B1B0C-8487-4CC8-AFB4-5043924F9DDA}">
      <dgm:prSet/>
      <dgm:spPr/>
      <dgm:t>
        <a:bodyPr/>
        <a:lstStyle/>
        <a:p>
          <a:endParaRPr lang="en-US"/>
        </a:p>
      </dgm:t>
    </dgm:pt>
    <dgm:pt modelId="{662E06A4-7A59-4E3C-9DEF-1DFBE98263C5}">
      <dgm:prSet phldrT="[Text]"/>
      <dgm:spPr/>
      <dgm:t>
        <a:bodyPr/>
        <a:lstStyle/>
        <a:p>
          <a:r>
            <a:rPr lang="en-US"/>
            <a:t>SISTEM DC90</a:t>
          </a:r>
        </a:p>
      </dgm:t>
    </dgm:pt>
    <dgm:pt modelId="{8E783B52-E815-44A7-860D-14EDC9209AAA}" type="parTrans" cxnId="{8C2ACF1A-372D-44B7-B493-DB175B3C0558}">
      <dgm:prSet/>
      <dgm:spPr/>
      <dgm:t>
        <a:bodyPr/>
        <a:lstStyle/>
        <a:p>
          <a:endParaRPr lang="sr-Latn-CS"/>
        </a:p>
      </dgm:t>
    </dgm:pt>
    <dgm:pt modelId="{BF0ABA43-9B03-4923-B881-8B9A8131C19B}" type="sibTrans" cxnId="{8C2ACF1A-372D-44B7-B493-DB175B3C0558}">
      <dgm:prSet/>
      <dgm:spPr/>
      <dgm:t>
        <a:bodyPr/>
        <a:lstStyle/>
        <a:p>
          <a:endParaRPr lang="sr-Latn-CS"/>
        </a:p>
      </dgm:t>
    </dgm:pt>
    <dgm:pt modelId="{75BE83EF-DC5B-4EAA-9BD2-1FC51A5A157E}" type="pres">
      <dgm:prSet presAssocID="{963F5FBA-AD98-458D-B36C-4B180A4213F2}" presName="compositeShape" presStyleCnt="0">
        <dgm:presLayoutVars>
          <dgm:chMax val="2"/>
          <dgm:dir/>
          <dgm:resizeHandles val="exact"/>
        </dgm:presLayoutVars>
      </dgm:prSet>
      <dgm:spPr/>
      <dgm:t>
        <a:bodyPr/>
        <a:lstStyle/>
        <a:p>
          <a:endParaRPr lang="en-US"/>
        </a:p>
      </dgm:t>
    </dgm:pt>
    <dgm:pt modelId="{E036457C-1173-496D-8AF3-5E3C43A5C672}" type="pres">
      <dgm:prSet presAssocID="{963F5FBA-AD98-458D-B36C-4B180A4213F2}" presName="ribbon" presStyleLbl="node1" presStyleIdx="0" presStyleCnt="1" custScaleX="205191" custLinFactNeighborX="-299"/>
      <dgm:spPr/>
    </dgm:pt>
    <dgm:pt modelId="{1C5FCD79-AA11-48AE-938C-48FC2644B350}" type="pres">
      <dgm:prSet presAssocID="{963F5FBA-AD98-458D-B36C-4B180A4213F2}" presName="leftArrowText" presStyleLbl="node1" presStyleIdx="0" presStyleCnt="1" custScaleX="185347" custScaleY="95398" custLinFactNeighborX="-46347">
        <dgm:presLayoutVars>
          <dgm:chMax val="0"/>
          <dgm:bulletEnabled val="1"/>
        </dgm:presLayoutVars>
      </dgm:prSet>
      <dgm:spPr/>
      <dgm:t>
        <a:bodyPr/>
        <a:lstStyle/>
        <a:p>
          <a:endParaRPr lang="en-US"/>
        </a:p>
      </dgm:t>
    </dgm:pt>
    <dgm:pt modelId="{575CADAD-7602-44B4-8FFF-A144CFA9666A}" type="pres">
      <dgm:prSet presAssocID="{963F5FBA-AD98-458D-B36C-4B180A4213F2}" presName="rightArrowText" presStyleLbl="node1" presStyleIdx="0" presStyleCnt="1" custScaleX="212629" custLinFactNeighborX="21936">
        <dgm:presLayoutVars>
          <dgm:chMax val="0"/>
          <dgm:bulletEnabled val="1"/>
        </dgm:presLayoutVars>
      </dgm:prSet>
      <dgm:spPr/>
      <dgm:t>
        <a:bodyPr/>
        <a:lstStyle/>
        <a:p>
          <a:endParaRPr lang="en-US"/>
        </a:p>
      </dgm:t>
    </dgm:pt>
  </dgm:ptLst>
  <dgm:cxnLst>
    <dgm:cxn modelId="{7558BA3E-2C0B-4345-94B3-1B94ACD15233}" type="presOf" srcId="{963F5FBA-AD98-458D-B36C-4B180A4213F2}" destId="{75BE83EF-DC5B-4EAA-9BD2-1FC51A5A157E}" srcOrd="0" destOrd="0" presId="urn:microsoft.com/office/officeart/2005/8/layout/arrow6"/>
    <dgm:cxn modelId="{8C2ACF1A-372D-44B7-B493-DB175B3C0558}" srcId="{963F5FBA-AD98-458D-B36C-4B180A4213F2}" destId="{662E06A4-7A59-4E3C-9DEF-1DFBE98263C5}" srcOrd="1" destOrd="0" parTransId="{8E783B52-E815-44A7-860D-14EDC9209AAA}" sibTransId="{BF0ABA43-9B03-4923-B881-8B9A8131C19B}"/>
    <dgm:cxn modelId="{5125E87D-EB8F-4FCC-952A-ED1CE7ED6497}" srcId="{963F5FBA-AD98-458D-B36C-4B180A4213F2}" destId="{C71299B6-2565-4221-9FFF-21C4B53DDB5F}" srcOrd="0" destOrd="0" parTransId="{0E8B66B0-D34C-411B-8231-784CB71931C3}" sibTransId="{96ADFFCC-6834-428E-BCFF-4B4004F1ACAF}"/>
    <dgm:cxn modelId="{E16FAAF2-5385-4F52-B7E1-89652BEC7A01}" type="presOf" srcId="{C71299B6-2565-4221-9FFF-21C4B53DDB5F}" destId="{1C5FCD79-AA11-48AE-938C-48FC2644B350}" srcOrd="0" destOrd="0" presId="urn:microsoft.com/office/officeart/2005/8/layout/arrow6"/>
    <dgm:cxn modelId="{D50B1B0C-8487-4CC8-AFB4-5043924F9DDA}" srcId="{963F5FBA-AD98-458D-B36C-4B180A4213F2}" destId="{3CA2B215-67FF-46C9-9A1B-F06414D39346}" srcOrd="2" destOrd="0" parTransId="{4588F67F-4D1D-4A75-8101-581E31C36165}" sibTransId="{43431F60-DB6E-415B-ABDE-336EACD3DAA1}"/>
    <dgm:cxn modelId="{98AEA818-5846-4882-BA13-B834F6FC4ED0}" type="presOf" srcId="{662E06A4-7A59-4E3C-9DEF-1DFBE98263C5}" destId="{575CADAD-7602-44B4-8FFF-A144CFA9666A}" srcOrd="0" destOrd="0" presId="urn:microsoft.com/office/officeart/2005/8/layout/arrow6"/>
    <dgm:cxn modelId="{856770C7-BA16-4A06-967A-C2BA6C14BCBC}" type="presParOf" srcId="{75BE83EF-DC5B-4EAA-9BD2-1FC51A5A157E}" destId="{E036457C-1173-496D-8AF3-5E3C43A5C672}" srcOrd="0" destOrd="0" presId="urn:microsoft.com/office/officeart/2005/8/layout/arrow6"/>
    <dgm:cxn modelId="{F1D8EE74-6BD3-4D53-8F6A-FCB24331768C}" type="presParOf" srcId="{75BE83EF-DC5B-4EAA-9BD2-1FC51A5A157E}" destId="{1C5FCD79-AA11-48AE-938C-48FC2644B350}" srcOrd="1" destOrd="0" presId="urn:microsoft.com/office/officeart/2005/8/layout/arrow6"/>
    <dgm:cxn modelId="{102BE33D-6012-4991-A508-B904961EB92A}" type="presParOf" srcId="{75BE83EF-DC5B-4EAA-9BD2-1FC51A5A157E}" destId="{575CADAD-7602-44B4-8FFF-A144CFA9666A}" srcOrd="2" destOrd="0" presId="urn:microsoft.com/office/officeart/2005/8/layout/arrow6"/>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963F5FBA-AD98-458D-B36C-4B180A4213F2}" type="doc">
      <dgm:prSet loTypeId="urn:microsoft.com/office/officeart/2005/8/layout/arrow6" loCatId="process" qsTypeId="urn:microsoft.com/office/officeart/2005/8/quickstyle/simple2" qsCatId="simple" csTypeId="urn:microsoft.com/office/officeart/2005/8/colors/accent1_2" csCatId="accent1" phldr="1"/>
      <dgm:spPr/>
      <dgm:t>
        <a:bodyPr/>
        <a:lstStyle/>
        <a:p>
          <a:endParaRPr lang="en-US"/>
        </a:p>
      </dgm:t>
    </dgm:pt>
    <dgm:pt modelId="{C71299B6-2565-4221-9FFF-21C4B53DDB5F}">
      <dgm:prSet phldrT="[Text]"/>
      <dgm:spPr/>
      <dgm:t>
        <a:bodyPr/>
        <a:lstStyle/>
        <a:p>
          <a:r>
            <a:rPr lang="en-US"/>
            <a:t>SISTEM DC90</a:t>
          </a:r>
        </a:p>
      </dgm:t>
    </dgm:pt>
    <dgm:pt modelId="{0E8B66B0-D34C-411B-8231-784CB71931C3}" type="parTrans" cxnId="{5125E87D-EB8F-4FCC-952A-ED1CE7ED6497}">
      <dgm:prSet/>
      <dgm:spPr/>
      <dgm:t>
        <a:bodyPr/>
        <a:lstStyle/>
        <a:p>
          <a:endParaRPr lang="en-US"/>
        </a:p>
      </dgm:t>
    </dgm:pt>
    <dgm:pt modelId="{96ADFFCC-6834-428E-BCFF-4B4004F1ACAF}" type="sibTrans" cxnId="{5125E87D-EB8F-4FCC-952A-ED1CE7ED6497}">
      <dgm:prSet/>
      <dgm:spPr/>
      <dgm:t>
        <a:bodyPr/>
        <a:lstStyle/>
        <a:p>
          <a:endParaRPr lang="en-US"/>
        </a:p>
      </dgm:t>
    </dgm:pt>
    <dgm:pt modelId="{3CA2B215-67FF-46C9-9A1B-F06414D39346}">
      <dgm:prSet/>
      <dgm:spPr/>
      <dgm:t>
        <a:bodyPr/>
        <a:lstStyle/>
        <a:p>
          <a:endParaRPr lang="en-US"/>
        </a:p>
      </dgm:t>
    </dgm:pt>
    <dgm:pt modelId="{4588F67F-4D1D-4A75-8101-581E31C36165}" type="parTrans" cxnId="{D50B1B0C-8487-4CC8-AFB4-5043924F9DDA}">
      <dgm:prSet/>
      <dgm:spPr/>
      <dgm:t>
        <a:bodyPr/>
        <a:lstStyle/>
        <a:p>
          <a:endParaRPr lang="en-US"/>
        </a:p>
      </dgm:t>
    </dgm:pt>
    <dgm:pt modelId="{43431F60-DB6E-415B-ABDE-336EACD3DAA1}" type="sibTrans" cxnId="{D50B1B0C-8487-4CC8-AFB4-5043924F9DDA}">
      <dgm:prSet/>
      <dgm:spPr/>
      <dgm:t>
        <a:bodyPr/>
        <a:lstStyle/>
        <a:p>
          <a:endParaRPr lang="en-US"/>
        </a:p>
      </dgm:t>
    </dgm:pt>
    <dgm:pt modelId="{662E06A4-7A59-4E3C-9DEF-1DFBE98263C5}">
      <dgm:prSet phldrT="[Text]"/>
      <dgm:spPr/>
      <dgm:t>
        <a:bodyPr/>
        <a:lstStyle/>
        <a:p>
          <a:r>
            <a:rPr lang="en-US"/>
            <a:t>SISTEM DC90</a:t>
          </a:r>
        </a:p>
      </dgm:t>
    </dgm:pt>
    <dgm:pt modelId="{8E783B52-E815-44A7-860D-14EDC9209AAA}" type="parTrans" cxnId="{8C2ACF1A-372D-44B7-B493-DB175B3C0558}">
      <dgm:prSet/>
      <dgm:spPr/>
      <dgm:t>
        <a:bodyPr/>
        <a:lstStyle/>
        <a:p>
          <a:endParaRPr lang="sr-Latn-CS"/>
        </a:p>
      </dgm:t>
    </dgm:pt>
    <dgm:pt modelId="{BF0ABA43-9B03-4923-B881-8B9A8131C19B}" type="sibTrans" cxnId="{8C2ACF1A-372D-44B7-B493-DB175B3C0558}">
      <dgm:prSet/>
      <dgm:spPr/>
      <dgm:t>
        <a:bodyPr/>
        <a:lstStyle/>
        <a:p>
          <a:endParaRPr lang="sr-Latn-CS"/>
        </a:p>
      </dgm:t>
    </dgm:pt>
    <dgm:pt modelId="{75BE83EF-DC5B-4EAA-9BD2-1FC51A5A157E}" type="pres">
      <dgm:prSet presAssocID="{963F5FBA-AD98-458D-B36C-4B180A4213F2}" presName="compositeShape" presStyleCnt="0">
        <dgm:presLayoutVars>
          <dgm:chMax val="2"/>
          <dgm:dir/>
          <dgm:resizeHandles val="exact"/>
        </dgm:presLayoutVars>
      </dgm:prSet>
      <dgm:spPr/>
      <dgm:t>
        <a:bodyPr/>
        <a:lstStyle/>
        <a:p>
          <a:endParaRPr lang="en-US"/>
        </a:p>
      </dgm:t>
    </dgm:pt>
    <dgm:pt modelId="{E036457C-1173-496D-8AF3-5E3C43A5C672}" type="pres">
      <dgm:prSet presAssocID="{963F5FBA-AD98-458D-B36C-4B180A4213F2}" presName="ribbon" presStyleLbl="node1" presStyleIdx="0" presStyleCnt="1" custScaleX="169455" custLinFactNeighborX="-299"/>
      <dgm:spPr/>
    </dgm:pt>
    <dgm:pt modelId="{1C5FCD79-AA11-48AE-938C-48FC2644B350}" type="pres">
      <dgm:prSet presAssocID="{963F5FBA-AD98-458D-B36C-4B180A4213F2}" presName="leftArrowText" presStyleLbl="node1" presStyleIdx="0" presStyleCnt="1" custScaleX="185347" custScaleY="95398" custLinFactNeighborX="-46347">
        <dgm:presLayoutVars>
          <dgm:chMax val="0"/>
          <dgm:bulletEnabled val="1"/>
        </dgm:presLayoutVars>
      </dgm:prSet>
      <dgm:spPr/>
      <dgm:t>
        <a:bodyPr/>
        <a:lstStyle/>
        <a:p>
          <a:endParaRPr lang="en-US"/>
        </a:p>
      </dgm:t>
    </dgm:pt>
    <dgm:pt modelId="{575CADAD-7602-44B4-8FFF-A144CFA9666A}" type="pres">
      <dgm:prSet presAssocID="{963F5FBA-AD98-458D-B36C-4B180A4213F2}" presName="rightArrowText" presStyleLbl="node1" presStyleIdx="0" presStyleCnt="1" custScaleX="212629" custLinFactNeighborX="21936">
        <dgm:presLayoutVars>
          <dgm:chMax val="0"/>
          <dgm:bulletEnabled val="1"/>
        </dgm:presLayoutVars>
      </dgm:prSet>
      <dgm:spPr/>
      <dgm:t>
        <a:bodyPr/>
        <a:lstStyle/>
        <a:p>
          <a:endParaRPr lang="en-US"/>
        </a:p>
      </dgm:t>
    </dgm:pt>
  </dgm:ptLst>
  <dgm:cxnLst>
    <dgm:cxn modelId="{F4A8D588-E17B-44D8-B4F9-7D98C8E69061}" type="presOf" srcId="{C71299B6-2565-4221-9FFF-21C4B53DDB5F}" destId="{1C5FCD79-AA11-48AE-938C-48FC2644B350}" srcOrd="0" destOrd="0" presId="urn:microsoft.com/office/officeart/2005/8/layout/arrow6"/>
    <dgm:cxn modelId="{8C2ACF1A-372D-44B7-B493-DB175B3C0558}" srcId="{963F5FBA-AD98-458D-B36C-4B180A4213F2}" destId="{662E06A4-7A59-4E3C-9DEF-1DFBE98263C5}" srcOrd="1" destOrd="0" parTransId="{8E783B52-E815-44A7-860D-14EDC9209AAA}" sibTransId="{BF0ABA43-9B03-4923-B881-8B9A8131C19B}"/>
    <dgm:cxn modelId="{5125E87D-EB8F-4FCC-952A-ED1CE7ED6497}" srcId="{963F5FBA-AD98-458D-B36C-4B180A4213F2}" destId="{C71299B6-2565-4221-9FFF-21C4B53DDB5F}" srcOrd="0" destOrd="0" parTransId="{0E8B66B0-D34C-411B-8231-784CB71931C3}" sibTransId="{96ADFFCC-6834-428E-BCFF-4B4004F1ACAF}"/>
    <dgm:cxn modelId="{026628BF-E64F-497C-954F-56037E63D6F3}" type="presOf" srcId="{963F5FBA-AD98-458D-B36C-4B180A4213F2}" destId="{75BE83EF-DC5B-4EAA-9BD2-1FC51A5A157E}" srcOrd="0" destOrd="0" presId="urn:microsoft.com/office/officeart/2005/8/layout/arrow6"/>
    <dgm:cxn modelId="{D50B1B0C-8487-4CC8-AFB4-5043924F9DDA}" srcId="{963F5FBA-AD98-458D-B36C-4B180A4213F2}" destId="{3CA2B215-67FF-46C9-9A1B-F06414D39346}" srcOrd="2" destOrd="0" parTransId="{4588F67F-4D1D-4A75-8101-581E31C36165}" sibTransId="{43431F60-DB6E-415B-ABDE-336EACD3DAA1}"/>
    <dgm:cxn modelId="{80A9F9F4-18BE-4BFB-9792-19B108878DD2}" type="presOf" srcId="{662E06A4-7A59-4E3C-9DEF-1DFBE98263C5}" destId="{575CADAD-7602-44B4-8FFF-A144CFA9666A}" srcOrd="0" destOrd="0" presId="urn:microsoft.com/office/officeart/2005/8/layout/arrow6"/>
    <dgm:cxn modelId="{06F3409A-67D8-4B85-BF56-729332C92273}" type="presParOf" srcId="{75BE83EF-DC5B-4EAA-9BD2-1FC51A5A157E}" destId="{E036457C-1173-496D-8AF3-5E3C43A5C672}" srcOrd="0" destOrd="0" presId="urn:microsoft.com/office/officeart/2005/8/layout/arrow6"/>
    <dgm:cxn modelId="{71DF3B71-4DFF-4AA6-9D53-0D83F8E74382}" type="presParOf" srcId="{75BE83EF-DC5B-4EAA-9BD2-1FC51A5A157E}" destId="{1C5FCD79-AA11-48AE-938C-48FC2644B350}" srcOrd="1" destOrd="0" presId="urn:microsoft.com/office/officeart/2005/8/layout/arrow6"/>
    <dgm:cxn modelId="{FBDB3565-312C-4268-AAC7-0DE074AD2D31}" type="presParOf" srcId="{75BE83EF-DC5B-4EAA-9BD2-1FC51A5A157E}" destId="{575CADAD-7602-44B4-8FFF-A144CFA9666A}" srcOrd="2" destOrd="0" presId="urn:microsoft.com/office/officeart/2005/8/layout/arrow6"/>
  </dgm:cxnLst>
  <dgm:bg/>
  <dgm:whole/>
  <dgm:extLst>
    <a:ext uri="http://schemas.microsoft.com/office/drawing/2008/diagram">
      <dsp:dataModelExt xmlns:dsp="http://schemas.microsoft.com/office/drawing/2008/diagram" relId="rId14"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963F5FBA-AD98-458D-B36C-4B180A4213F2}" type="doc">
      <dgm:prSet loTypeId="urn:microsoft.com/office/officeart/2005/8/layout/arrow6" loCatId="process" qsTypeId="urn:microsoft.com/office/officeart/2005/8/quickstyle/simple2" qsCatId="simple" csTypeId="urn:microsoft.com/office/officeart/2005/8/colors/accent1_2" csCatId="accent1" phldr="1"/>
      <dgm:spPr/>
      <dgm:t>
        <a:bodyPr/>
        <a:lstStyle/>
        <a:p>
          <a:endParaRPr lang="en-US"/>
        </a:p>
      </dgm:t>
    </dgm:pt>
    <dgm:pt modelId="{C71299B6-2565-4221-9FFF-21C4B53DDB5F}">
      <dgm:prSet phldrT="[Text]"/>
      <dgm:spPr/>
      <dgm:t>
        <a:bodyPr/>
        <a:lstStyle/>
        <a:p>
          <a:r>
            <a:rPr lang="en-US"/>
            <a:t>SISTEM DC90</a:t>
          </a:r>
        </a:p>
      </dgm:t>
    </dgm:pt>
    <dgm:pt modelId="{0E8B66B0-D34C-411B-8231-784CB71931C3}" type="parTrans" cxnId="{5125E87D-EB8F-4FCC-952A-ED1CE7ED6497}">
      <dgm:prSet/>
      <dgm:spPr/>
      <dgm:t>
        <a:bodyPr/>
        <a:lstStyle/>
        <a:p>
          <a:endParaRPr lang="en-US"/>
        </a:p>
      </dgm:t>
    </dgm:pt>
    <dgm:pt modelId="{96ADFFCC-6834-428E-BCFF-4B4004F1ACAF}" type="sibTrans" cxnId="{5125E87D-EB8F-4FCC-952A-ED1CE7ED6497}">
      <dgm:prSet/>
      <dgm:spPr/>
      <dgm:t>
        <a:bodyPr/>
        <a:lstStyle/>
        <a:p>
          <a:endParaRPr lang="en-US"/>
        </a:p>
      </dgm:t>
    </dgm:pt>
    <dgm:pt modelId="{3CA2B215-67FF-46C9-9A1B-F06414D39346}">
      <dgm:prSet/>
      <dgm:spPr/>
      <dgm:t>
        <a:bodyPr/>
        <a:lstStyle/>
        <a:p>
          <a:r>
            <a:rPr lang="en-US"/>
            <a:t>SISTEM DC90</a:t>
          </a:r>
        </a:p>
      </dgm:t>
    </dgm:pt>
    <dgm:pt modelId="{4588F67F-4D1D-4A75-8101-581E31C36165}" type="parTrans" cxnId="{D50B1B0C-8487-4CC8-AFB4-5043924F9DDA}">
      <dgm:prSet/>
      <dgm:spPr/>
      <dgm:t>
        <a:bodyPr/>
        <a:lstStyle/>
        <a:p>
          <a:endParaRPr lang="en-US"/>
        </a:p>
      </dgm:t>
    </dgm:pt>
    <dgm:pt modelId="{43431F60-DB6E-415B-ABDE-336EACD3DAA1}" type="sibTrans" cxnId="{D50B1B0C-8487-4CC8-AFB4-5043924F9DDA}">
      <dgm:prSet/>
      <dgm:spPr/>
      <dgm:t>
        <a:bodyPr/>
        <a:lstStyle/>
        <a:p>
          <a:endParaRPr lang="en-US"/>
        </a:p>
      </dgm:t>
    </dgm:pt>
    <dgm:pt modelId="{75BE83EF-DC5B-4EAA-9BD2-1FC51A5A157E}" type="pres">
      <dgm:prSet presAssocID="{963F5FBA-AD98-458D-B36C-4B180A4213F2}" presName="compositeShape" presStyleCnt="0">
        <dgm:presLayoutVars>
          <dgm:chMax val="2"/>
          <dgm:dir/>
          <dgm:resizeHandles val="exact"/>
        </dgm:presLayoutVars>
      </dgm:prSet>
      <dgm:spPr/>
      <dgm:t>
        <a:bodyPr/>
        <a:lstStyle/>
        <a:p>
          <a:endParaRPr lang="en-US"/>
        </a:p>
      </dgm:t>
    </dgm:pt>
    <dgm:pt modelId="{E036457C-1173-496D-8AF3-5E3C43A5C672}" type="pres">
      <dgm:prSet presAssocID="{963F5FBA-AD98-458D-B36C-4B180A4213F2}" presName="ribbon" presStyleLbl="node1" presStyleIdx="0" presStyleCnt="1" custScaleX="173793" custLinFactNeighborX="-299"/>
      <dgm:spPr/>
    </dgm:pt>
    <dgm:pt modelId="{1C5FCD79-AA11-48AE-938C-48FC2644B350}" type="pres">
      <dgm:prSet presAssocID="{963F5FBA-AD98-458D-B36C-4B180A4213F2}" presName="leftArrowText" presStyleLbl="node1" presStyleIdx="0" presStyleCnt="1" custScaleX="183194" custLinFactNeighborX="-49062">
        <dgm:presLayoutVars>
          <dgm:chMax val="0"/>
          <dgm:bulletEnabled val="1"/>
        </dgm:presLayoutVars>
      </dgm:prSet>
      <dgm:spPr/>
      <dgm:t>
        <a:bodyPr/>
        <a:lstStyle/>
        <a:p>
          <a:endParaRPr lang="en-US"/>
        </a:p>
      </dgm:t>
    </dgm:pt>
    <dgm:pt modelId="{575CADAD-7602-44B4-8FFF-A144CFA9666A}" type="pres">
      <dgm:prSet presAssocID="{963F5FBA-AD98-458D-B36C-4B180A4213F2}" presName="rightArrowText" presStyleLbl="node1" presStyleIdx="0" presStyleCnt="1" custScaleX="166051" custLinFactNeighborX="18343">
        <dgm:presLayoutVars>
          <dgm:chMax val="0"/>
          <dgm:bulletEnabled val="1"/>
        </dgm:presLayoutVars>
      </dgm:prSet>
      <dgm:spPr/>
      <dgm:t>
        <a:bodyPr/>
        <a:lstStyle/>
        <a:p>
          <a:endParaRPr lang="en-US"/>
        </a:p>
      </dgm:t>
    </dgm:pt>
  </dgm:ptLst>
  <dgm:cxnLst>
    <dgm:cxn modelId="{5125E87D-EB8F-4FCC-952A-ED1CE7ED6497}" srcId="{963F5FBA-AD98-458D-B36C-4B180A4213F2}" destId="{C71299B6-2565-4221-9FFF-21C4B53DDB5F}" srcOrd="0" destOrd="0" parTransId="{0E8B66B0-D34C-411B-8231-784CB71931C3}" sibTransId="{96ADFFCC-6834-428E-BCFF-4B4004F1ACAF}"/>
    <dgm:cxn modelId="{1D441A8E-2E87-43D5-B802-B2879628BEFA}" type="presOf" srcId="{C71299B6-2565-4221-9FFF-21C4B53DDB5F}" destId="{1C5FCD79-AA11-48AE-938C-48FC2644B350}" srcOrd="0" destOrd="0" presId="urn:microsoft.com/office/officeart/2005/8/layout/arrow6"/>
    <dgm:cxn modelId="{D50B1B0C-8487-4CC8-AFB4-5043924F9DDA}" srcId="{963F5FBA-AD98-458D-B36C-4B180A4213F2}" destId="{3CA2B215-67FF-46C9-9A1B-F06414D39346}" srcOrd="1" destOrd="0" parTransId="{4588F67F-4D1D-4A75-8101-581E31C36165}" sibTransId="{43431F60-DB6E-415B-ABDE-336EACD3DAA1}"/>
    <dgm:cxn modelId="{5414434B-CFA6-48B5-9F90-2ED397D3347C}" type="presOf" srcId="{963F5FBA-AD98-458D-B36C-4B180A4213F2}" destId="{75BE83EF-DC5B-4EAA-9BD2-1FC51A5A157E}" srcOrd="0" destOrd="0" presId="urn:microsoft.com/office/officeart/2005/8/layout/arrow6"/>
    <dgm:cxn modelId="{E33CC543-81BE-4107-A96A-59511A1B944F}" type="presOf" srcId="{3CA2B215-67FF-46C9-9A1B-F06414D39346}" destId="{575CADAD-7602-44B4-8FFF-A144CFA9666A}" srcOrd="0" destOrd="0" presId="urn:microsoft.com/office/officeart/2005/8/layout/arrow6"/>
    <dgm:cxn modelId="{42B960C1-6C14-4B5D-B2A5-03505A102523}" type="presParOf" srcId="{75BE83EF-DC5B-4EAA-9BD2-1FC51A5A157E}" destId="{E036457C-1173-496D-8AF3-5E3C43A5C672}" srcOrd="0" destOrd="0" presId="urn:microsoft.com/office/officeart/2005/8/layout/arrow6"/>
    <dgm:cxn modelId="{9BCF8DBD-F99D-4849-BA63-5A6B5E9E5F6A}" type="presParOf" srcId="{75BE83EF-DC5B-4EAA-9BD2-1FC51A5A157E}" destId="{1C5FCD79-AA11-48AE-938C-48FC2644B350}" srcOrd="1" destOrd="0" presId="urn:microsoft.com/office/officeart/2005/8/layout/arrow6"/>
    <dgm:cxn modelId="{95E931BE-BDFA-428F-A826-DF2EB6A5BD52}" type="presParOf" srcId="{75BE83EF-DC5B-4EAA-9BD2-1FC51A5A157E}" destId="{575CADAD-7602-44B4-8FFF-A144CFA9666A}" srcOrd="2" destOrd="0" presId="urn:microsoft.com/office/officeart/2005/8/layout/arrow6"/>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036457C-1173-496D-8AF3-5E3C43A5C672}">
      <dsp:nvSpPr>
        <dsp:cNvPr id="0" name=""/>
        <dsp:cNvSpPr/>
      </dsp:nvSpPr>
      <dsp:spPr>
        <a:xfrm>
          <a:off x="357581" y="0"/>
          <a:ext cx="2215607" cy="594794"/>
        </a:xfrm>
        <a:prstGeom prst="leftRightRibbon">
          <a:avLst/>
        </a:prstGeom>
        <a:solidFill>
          <a:schemeClr val="accent1">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sp>
    <dsp:sp modelId="{1C5FCD79-AA11-48AE-938C-48FC2644B350}">
      <dsp:nvSpPr>
        <dsp:cNvPr id="0" name=""/>
        <dsp:cNvSpPr/>
      </dsp:nvSpPr>
      <dsp:spPr>
        <a:xfrm>
          <a:off x="732772" y="104088"/>
          <a:ext cx="666038" cy="291449"/>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46228" rIns="0" bIns="49530" numCol="1" spcCol="1270" anchor="ctr" anchorCtr="0">
          <a:noAutofit/>
        </a:bodyPr>
        <a:lstStyle/>
        <a:p>
          <a:pPr lvl="0" algn="ctr" defTabSz="577850">
            <a:lnSpc>
              <a:spcPct val="90000"/>
            </a:lnSpc>
            <a:spcBef>
              <a:spcPct val="0"/>
            </a:spcBef>
            <a:spcAft>
              <a:spcPct val="35000"/>
            </a:spcAft>
          </a:pPr>
          <a:endParaRPr lang="en-US" sz="1300" kern="1200"/>
        </a:p>
      </dsp:txBody>
      <dsp:txXfrm>
        <a:off x="732772" y="104088"/>
        <a:ext cx="666038" cy="291449"/>
      </dsp:txXfrm>
    </dsp:sp>
    <dsp:sp modelId="{575CADAD-7602-44B4-8FFF-A144CFA9666A}">
      <dsp:nvSpPr>
        <dsp:cNvPr id="0" name=""/>
        <dsp:cNvSpPr/>
      </dsp:nvSpPr>
      <dsp:spPr>
        <a:xfrm>
          <a:off x="1304897" y="199255"/>
          <a:ext cx="1339131" cy="291449"/>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46228" rIns="0" bIns="49530" numCol="1" spcCol="1270" anchor="ctr" anchorCtr="0">
          <a:noAutofit/>
        </a:bodyPr>
        <a:lstStyle/>
        <a:p>
          <a:pPr lvl="0" algn="ctr" defTabSz="577850">
            <a:lnSpc>
              <a:spcPct val="90000"/>
            </a:lnSpc>
            <a:spcBef>
              <a:spcPct val="0"/>
            </a:spcBef>
            <a:spcAft>
              <a:spcPct val="35000"/>
            </a:spcAft>
          </a:pPr>
          <a:r>
            <a:rPr lang="en-US" sz="1300" kern="1200"/>
            <a:t>SISTEM DC90</a:t>
          </a:r>
        </a:p>
      </dsp:txBody>
      <dsp:txXfrm>
        <a:off x="1304897" y="199255"/>
        <a:ext cx="1339131" cy="291449"/>
      </dsp:txXfrm>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036457C-1173-496D-8AF3-5E3C43A5C672}">
      <dsp:nvSpPr>
        <dsp:cNvPr id="0" name=""/>
        <dsp:cNvSpPr/>
      </dsp:nvSpPr>
      <dsp:spPr>
        <a:xfrm>
          <a:off x="922" y="0"/>
          <a:ext cx="2761329" cy="575309"/>
        </a:xfrm>
        <a:prstGeom prst="leftRightRibbon">
          <a:avLst/>
        </a:prstGeom>
        <a:solidFill>
          <a:schemeClr val="accent1">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sp>
    <dsp:sp modelId="{1C5FCD79-AA11-48AE-938C-48FC2644B350}">
      <dsp:nvSpPr>
        <dsp:cNvPr id="0" name=""/>
        <dsp:cNvSpPr/>
      </dsp:nvSpPr>
      <dsp:spPr>
        <a:xfrm>
          <a:off x="409047" y="100679"/>
          <a:ext cx="869495" cy="281901"/>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5560" rIns="0" bIns="38100" numCol="1" spcCol="1270" anchor="ctr" anchorCtr="0">
          <a:noAutofit/>
        </a:bodyPr>
        <a:lstStyle/>
        <a:p>
          <a:pPr lvl="0" algn="ctr" defTabSz="444500">
            <a:lnSpc>
              <a:spcPct val="90000"/>
            </a:lnSpc>
            <a:spcBef>
              <a:spcPct val="0"/>
            </a:spcBef>
            <a:spcAft>
              <a:spcPct val="35000"/>
            </a:spcAft>
          </a:pPr>
          <a:r>
            <a:rPr lang="en-US" sz="1000" kern="1200"/>
            <a:t>SISTEM DC90</a:t>
          </a:r>
        </a:p>
      </dsp:txBody>
      <dsp:txXfrm>
        <a:off x="409047" y="100679"/>
        <a:ext cx="869495" cy="281901"/>
      </dsp:txXfrm>
    </dsp:sp>
    <dsp:sp modelId="{575CADAD-7602-44B4-8FFF-A144CFA9666A}">
      <dsp:nvSpPr>
        <dsp:cNvPr id="0" name=""/>
        <dsp:cNvSpPr/>
      </dsp:nvSpPr>
      <dsp:spPr>
        <a:xfrm>
          <a:off x="1303529" y="192728"/>
          <a:ext cx="931425" cy="281901"/>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2004" rIns="0" bIns="34290" numCol="1" spcCol="1270" anchor="ctr" anchorCtr="0">
          <a:noAutofit/>
        </a:bodyPr>
        <a:lstStyle/>
        <a:p>
          <a:pPr lvl="0" algn="ctr" defTabSz="400050">
            <a:lnSpc>
              <a:spcPct val="90000"/>
            </a:lnSpc>
            <a:spcBef>
              <a:spcPct val="0"/>
            </a:spcBef>
            <a:spcAft>
              <a:spcPct val="35000"/>
            </a:spcAft>
          </a:pPr>
          <a:r>
            <a:rPr lang="en-US" sz="900" kern="1200"/>
            <a:t>SISTEM DC90</a:t>
          </a:r>
        </a:p>
      </dsp:txBody>
      <dsp:txXfrm>
        <a:off x="1303529" y="192728"/>
        <a:ext cx="931425" cy="281901"/>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036457C-1173-496D-8AF3-5E3C43A5C672}">
      <dsp:nvSpPr>
        <dsp:cNvPr id="0" name=""/>
        <dsp:cNvSpPr/>
      </dsp:nvSpPr>
      <dsp:spPr>
        <a:xfrm>
          <a:off x="99218" y="0"/>
          <a:ext cx="1977226" cy="466725"/>
        </a:xfrm>
        <a:prstGeom prst="leftRightRibbon">
          <a:avLst/>
        </a:prstGeom>
        <a:solidFill>
          <a:schemeClr val="accent1">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sp>
    <dsp:sp modelId="{1C5FCD79-AA11-48AE-938C-48FC2644B350}">
      <dsp:nvSpPr>
        <dsp:cNvPr id="0" name=""/>
        <dsp:cNvSpPr/>
      </dsp:nvSpPr>
      <dsp:spPr>
        <a:xfrm>
          <a:off x="323500" y="86939"/>
          <a:ext cx="713676" cy="218171"/>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5560" rIns="0" bIns="38100" numCol="1" spcCol="1270" anchor="ctr" anchorCtr="0">
          <a:noAutofit/>
        </a:bodyPr>
        <a:lstStyle/>
        <a:p>
          <a:pPr lvl="0" algn="ctr" defTabSz="444500">
            <a:lnSpc>
              <a:spcPct val="90000"/>
            </a:lnSpc>
            <a:spcBef>
              <a:spcPct val="0"/>
            </a:spcBef>
            <a:spcAft>
              <a:spcPct val="35000"/>
            </a:spcAft>
          </a:pPr>
          <a:r>
            <a:rPr lang="en-US" sz="1000" kern="1200"/>
            <a:t>SISTEM DC90</a:t>
          </a:r>
        </a:p>
      </dsp:txBody>
      <dsp:txXfrm>
        <a:off x="323500" y="86939"/>
        <a:ext cx="713676" cy="218171"/>
      </dsp:txXfrm>
    </dsp:sp>
    <dsp:sp modelId="{575CADAD-7602-44B4-8FFF-A144CFA9666A}">
      <dsp:nvSpPr>
        <dsp:cNvPr id="0" name=""/>
        <dsp:cNvSpPr/>
      </dsp:nvSpPr>
      <dsp:spPr>
        <a:xfrm>
          <a:off x="953220" y="156353"/>
          <a:ext cx="967584" cy="228695"/>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5560" rIns="0" bIns="38100" numCol="1" spcCol="1270" anchor="ctr" anchorCtr="0">
          <a:noAutofit/>
        </a:bodyPr>
        <a:lstStyle/>
        <a:p>
          <a:pPr lvl="0" algn="ctr" defTabSz="444500">
            <a:lnSpc>
              <a:spcPct val="90000"/>
            </a:lnSpc>
            <a:spcBef>
              <a:spcPct val="0"/>
            </a:spcBef>
            <a:spcAft>
              <a:spcPct val="35000"/>
            </a:spcAft>
          </a:pPr>
          <a:endParaRPr lang="en-US" sz="1000" kern="1200"/>
        </a:p>
      </dsp:txBody>
      <dsp:txXfrm>
        <a:off x="953220" y="156353"/>
        <a:ext cx="967584" cy="22869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036457C-1173-496D-8AF3-5E3C43A5C672}">
      <dsp:nvSpPr>
        <dsp:cNvPr id="0" name=""/>
        <dsp:cNvSpPr/>
      </dsp:nvSpPr>
      <dsp:spPr>
        <a:xfrm>
          <a:off x="227298" y="0"/>
          <a:ext cx="2386610" cy="613697"/>
        </a:xfrm>
        <a:prstGeom prst="leftRightRibbon">
          <a:avLst/>
        </a:prstGeom>
        <a:solidFill>
          <a:schemeClr val="accent1">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sp>
    <dsp:sp modelId="{1C5FCD79-AA11-48AE-938C-48FC2644B350}">
      <dsp:nvSpPr>
        <dsp:cNvPr id="0" name=""/>
        <dsp:cNvSpPr/>
      </dsp:nvSpPr>
      <dsp:spPr>
        <a:xfrm>
          <a:off x="321619" y="107397"/>
          <a:ext cx="1081843" cy="300712"/>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46228" rIns="0" bIns="49530" numCol="1" spcCol="1270" anchor="ctr" anchorCtr="0">
          <a:noAutofit/>
        </a:bodyPr>
        <a:lstStyle/>
        <a:p>
          <a:pPr lvl="0" algn="ctr" defTabSz="577850">
            <a:lnSpc>
              <a:spcPct val="90000"/>
            </a:lnSpc>
            <a:spcBef>
              <a:spcPct val="0"/>
            </a:spcBef>
            <a:spcAft>
              <a:spcPct val="35000"/>
            </a:spcAft>
          </a:pPr>
          <a:r>
            <a:rPr lang="en-US" sz="1300" kern="1200"/>
            <a:t>SISTEM DC90</a:t>
          </a:r>
        </a:p>
      </dsp:txBody>
      <dsp:txXfrm>
        <a:off x="321619" y="107397"/>
        <a:ext cx="1081843" cy="300712"/>
      </dsp:txXfrm>
    </dsp:sp>
    <dsp:sp modelId="{575CADAD-7602-44B4-8FFF-A144CFA9666A}">
      <dsp:nvSpPr>
        <dsp:cNvPr id="0" name=""/>
        <dsp:cNvSpPr/>
      </dsp:nvSpPr>
      <dsp:spPr>
        <a:xfrm>
          <a:off x="1335987" y="205588"/>
          <a:ext cx="1179334" cy="300712"/>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46228" rIns="0" bIns="49530" numCol="1" spcCol="1270" anchor="ctr" anchorCtr="0">
          <a:noAutofit/>
        </a:bodyPr>
        <a:lstStyle/>
        <a:p>
          <a:pPr lvl="0" algn="ctr" defTabSz="577850">
            <a:lnSpc>
              <a:spcPct val="90000"/>
            </a:lnSpc>
            <a:spcBef>
              <a:spcPct val="0"/>
            </a:spcBef>
            <a:spcAft>
              <a:spcPct val="35000"/>
            </a:spcAft>
          </a:pPr>
          <a:r>
            <a:rPr lang="en-US" sz="1300" kern="1200"/>
            <a:t>SISTEM DC90</a:t>
          </a:r>
        </a:p>
      </dsp:txBody>
      <dsp:txXfrm>
        <a:off x="1335987" y="205588"/>
        <a:ext cx="1179334" cy="300712"/>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036457C-1173-496D-8AF3-5E3C43A5C672}">
      <dsp:nvSpPr>
        <dsp:cNvPr id="0" name=""/>
        <dsp:cNvSpPr/>
      </dsp:nvSpPr>
      <dsp:spPr>
        <a:xfrm>
          <a:off x="-108961" y="0"/>
          <a:ext cx="2810671" cy="632027"/>
        </a:xfrm>
        <a:prstGeom prst="leftRightRibbon">
          <a:avLst/>
        </a:prstGeom>
        <a:solidFill>
          <a:schemeClr val="accent1">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sp>
    <dsp:sp modelId="{1C5FCD79-AA11-48AE-938C-48FC2644B350}">
      <dsp:nvSpPr>
        <dsp:cNvPr id="0" name=""/>
        <dsp:cNvSpPr/>
      </dsp:nvSpPr>
      <dsp:spPr>
        <a:xfrm>
          <a:off x="51650" y="110604"/>
          <a:ext cx="1230457" cy="309693"/>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46228" rIns="0" bIns="49530" numCol="1" spcCol="1270" anchor="ctr" anchorCtr="0">
          <a:noAutofit/>
        </a:bodyPr>
        <a:lstStyle/>
        <a:p>
          <a:pPr lvl="0" algn="ctr" defTabSz="577850">
            <a:lnSpc>
              <a:spcPct val="90000"/>
            </a:lnSpc>
            <a:spcBef>
              <a:spcPct val="0"/>
            </a:spcBef>
            <a:spcAft>
              <a:spcPct val="35000"/>
            </a:spcAft>
          </a:pPr>
          <a:r>
            <a:rPr lang="en-US" sz="1300" kern="1200"/>
            <a:t>SISTEM DC90</a:t>
          </a:r>
        </a:p>
      </dsp:txBody>
      <dsp:txXfrm>
        <a:off x="51650" y="110604"/>
        <a:ext cx="1230457" cy="309693"/>
      </dsp:txXfrm>
    </dsp:sp>
    <dsp:sp modelId="{575CADAD-7602-44B4-8FFF-A144CFA9666A}">
      <dsp:nvSpPr>
        <dsp:cNvPr id="0" name=""/>
        <dsp:cNvSpPr/>
      </dsp:nvSpPr>
      <dsp:spPr>
        <a:xfrm>
          <a:off x="1162570" y="211729"/>
          <a:ext cx="1241246" cy="309693"/>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46228" rIns="0" bIns="49530" numCol="1" spcCol="1270" anchor="ctr" anchorCtr="0">
          <a:noAutofit/>
        </a:bodyPr>
        <a:lstStyle/>
        <a:p>
          <a:pPr lvl="0" algn="ctr" defTabSz="577850">
            <a:lnSpc>
              <a:spcPct val="90000"/>
            </a:lnSpc>
            <a:spcBef>
              <a:spcPct val="0"/>
            </a:spcBef>
            <a:spcAft>
              <a:spcPct val="35000"/>
            </a:spcAft>
          </a:pPr>
          <a:r>
            <a:rPr lang="en-US" sz="1300" kern="1200"/>
            <a:t>SISTEM DC90</a:t>
          </a:r>
        </a:p>
      </dsp:txBody>
      <dsp:txXfrm>
        <a:off x="1162570" y="211729"/>
        <a:ext cx="1241246" cy="30969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036457C-1173-496D-8AF3-5E3C43A5C672}">
      <dsp:nvSpPr>
        <dsp:cNvPr id="0" name=""/>
        <dsp:cNvSpPr/>
      </dsp:nvSpPr>
      <dsp:spPr>
        <a:xfrm>
          <a:off x="176671" y="0"/>
          <a:ext cx="2691042" cy="526529"/>
        </a:xfrm>
        <a:prstGeom prst="leftRightRibbon">
          <a:avLst/>
        </a:prstGeom>
        <a:solidFill>
          <a:schemeClr val="accent1">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sp>
    <dsp:sp modelId="{1C5FCD79-AA11-48AE-938C-48FC2644B350}">
      <dsp:nvSpPr>
        <dsp:cNvPr id="0" name=""/>
        <dsp:cNvSpPr/>
      </dsp:nvSpPr>
      <dsp:spPr>
        <a:xfrm>
          <a:off x="632113" y="92142"/>
          <a:ext cx="795771" cy="257999"/>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2004" rIns="0" bIns="34290" numCol="1" spcCol="1270" anchor="ctr" anchorCtr="0">
          <a:noAutofit/>
        </a:bodyPr>
        <a:lstStyle/>
        <a:p>
          <a:pPr lvl="0" algn="ctr" defTabSz="400050">
            <a:lnSpc>
              <a:spcPct val="90000"/>
            </a:lnSpc>
            <a:spcBef>
              <a:spcPct val="0"/>
            </a:spcBef>
            <a:spcAft>
              <a:spcPct val="35000"/>
            </a:spcAft>
          </a:pPr>
          <a:r>
            <a:rPr lang="en-US" sz="900" kern="1200"/>
            <a:t>SISTEM DC90</a:t>
          </a:r>
        </a:p>
      </dsp:txBody>
      <dsp:txXfrm>
        <a:off x="632113" y="92142"/>
        <a:ext cx="795771" cy="257999"/>
      </dsp:txXfrm>
    </dsp:sp>
    <dsp:sp modelId="{575CADAD-7602-44B4-8FFF-A144CFA9666A}">
      <dsp:nvSpPr>
        <dsp:cNvPr id="0" name=""/>
        <dsp:cNvSpPr/>
      </dsp:nvSpPr>
      <dsp:spPr>
        <a:xfrm>
          <a:off x="1450753" y="176387"/>
          <a:ext cx="852450" cy="257999"/>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2004" rIns="0" bIns="34290" numCol="1" spcCol="1270" anchor="ctr" anchorCtr="0">
          <a:noAutofit/>
        </a:bodyPr>
        <a:lstStyle/>
        <a:p>
          <a:pPr lvl="0" algn="ctr" defTabSz="400050">
            <a:lnSpc>
              <a:spcPct val="90000"/>
            </a:lnSpc>
            <a:spcBef>
              <a:spcPct val="0"/>
            </a:spcBef>
            <a:spcAft>
              <a:spcPct val="35000"/>
            </a:spcAft>
          </a:pPr>
          <a:r>
            <a:rPr lang="en-US" sz="900" kern="1200"/>
            <a:t>SISTEM DC90</a:t>
          </a:r>
        </a:p>
      </dsp:txBody>
      <dsp:txXfrm>
        <a:off x="1450753" y="176387"/>
        <a:ext cx="852450" cy="257999"/>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036457C-1173-496D-8AF3-5E3C43A5C672}">
      <dsp:nvSpPr>
        <dsp:cNvPr id="0" name=""/>
        <dsp:cNvSpPr/>
      </dsp:nvSpPr>
      <dsp:spPr>
        <a:xfrm>
          <a:off x="115453" y="0"/>
          <a:ext cx="2699327" cy="560012"/>
        </a:xfrm>
        <a:prstGeom prst="leftRightRibbon">
          <a:avLst/>
        </a:prstGeom>
        <a:solidFill>
          <a:schemeClr val="accent1">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sp>
    <dsp:sp modelId="{1C5FCD79-AA11-48AE-938C-48FC2644B350}">
      <dsp:nvSpPr>
        <dsp:cNvPr id="0" name=""/>
        <dsp:cNvSpPr/>
      </dsp:nvSpPr>
      <dsp:spPr>
        <a:xfrm>
          <a:off x="538734" y="98002"/>
          <a:ext cx="876469" cy="274405"/>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5560" rIns="0" bIns="38100" numCol="1" spcCol="1270" anchor="ctr" anchorCtr="0">
          <a:noAutofit/>
        </a:bodyPr>
        <a:lstStyle/>
        <a:p>
          <a:pPr lvl="0" algn="ctr" defTabSz="444500">
            <a:lnSpc>
              <a:spcPct val="90000"/>
            </a:lnSpc>
            <a:spcBef>
              <a:spcPct val="0"/>
            </a:spcBef>
            <a:spcAft>
              <a:spcPct val="35000"/>
            </a:spcAft>
          </a:pPr>
          <a:r>
            <a:rPr lang="en-US" sz="1000" kern="1200"/>
            <a:t>SISTEM DC90</a:t>
          </a:r>
        </a:p>
      </dsp:txBody>
      <dsp:txXfrm>
        <a:off x="538734" y="98002"/>
        <a:ext cx="876469" cy="274405"/>
      </dsp:txXfrm>
    </dsp:sp>
    <dsp:sp modelId="{575CADAD-7602-44B4-8FFF-A144CFA9666A}">
      <dsp:nvSpPr>
        <dsp:cNvPr id="0" name=""/>
        <dsp:cNvSpPr/>
      </dsp:nvSpPr>
      <dsp:spPr>
        <a:xfrm>
          <a:off x="1384423" y="193495"/>
          <a:ext cx="892516" cy="274405"/>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2004" rIns="0" bIns="34290" numCol="1" spcCol="1270" anchor="ctr" anchorCtr="0">
          <a:noAutofit/>
        </a:bodyPr>
        <a:lstStyle/>
        <a:p>
          <a:pPr lvl="0" algn="ctr" defTabSz="400050">
            <a:lnSpc>
              <a:spcPct val="90000"/>
            </a:lnSpc>
            <a:spcBef>
              <a:spcPct val="0"/>
            </a:spcBef>
            <a:spcAft>
              <a:spcPct val="35000"/>
            </a:spcAft>
          </a:pPr>
          <a:r>
            <a:rPr lang="en-US" sz="900" kern="1200"/>
            <a:t>SISTEM DC90</a:t>
          </a:r>
        </a:p>
      </dsp:txBody>
      <dsp:txXfrm>
        <a:off x="1384423" y="193495"/>
        <a:ext cx="892516" cy="274405"/>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036457C-1173-496D-8AF3-5E3C43A5C672}">
      <dsp:nvSpPr>
        <dsp:cNvPr id="0" name=""/>
        <dsp:cNvSpPr/>
      </dsp:nvSpPr>
      <dsp:spPr>
        <a:xfrm>
          <a:off x="-1" y="0"/>
          <a:ext cx="2621109" cy="585700"/>
        </a:xfrm>
        <a:prstGeom prst="leftRightRibbon">
          <a:avLst/>
        </a:prstGeom>
        <a:solidFill>
          <a:schemeClr val="accent1">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sp>
    <dsp:sp modelId="{1C5FCD79-AA11-48AE-938C-48FC2644B350}">
      <dsp:nvSpPr>
        <dsp:cNvPr id="0" name=""/>
        <dsp:cNvSpPr/>
      </dsp:nvSpPr>
      <dsp:spPr>
        <a:xfrm>
          <a:off x="304844" y="102497"/>
          <a:ext cx="956939" cy="286993"/>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42672" rIns="0" bIns="45720" numCol="1" spcCol="1270" anchor="ctr" anchorCtr="0">
          <a:noAutofit/>
        </a:bodyPr>
        <a:lstStyle/>
        <a:p>
          <a:pPr lvl="0" algn="ctr" defTabSz="533400">
            <a:lnSpc>
              <a:spcPct val="90000"/>
            </a:lnSpc>
            <a:spcBef>
              <a:spcPct val="0"/>
            </a:spcBef>
            <a:spcAft>
              <a:spcPct val="35000"/>
            </a:spcAft>
          </a:pPr>
          <a:r>
            <a:rPr lang="en-US" sz="1200" kern="1200"/>
            <a:t>SISTEM DC90</a:t>
          </a:r>
        </a:p>
      </dsp:txBody>
      <dsp:txXfrm>
        <a:off x="304844" y="102497"/>
        <a:ext cx="956939" cy="286993"/>
      </dsp:txXfrm>
    </dsp:sp>
    <dsp:sp modelId="{575CADAD-7602-44B4-8FFF-A144CFA9666A}">
      <dsp:nvSpPr>
        <dsp:cNvPr id="0" name=""/>
        <dsp:cNvSpPr/>
      </dsp:nvSpPr>
      <dsp:spPr>
        <a:xfrm>
          <a:off x="1192604" y="196209"/>
          <a:ext cx="1065747" cy="286993"/>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9116" rIns="0" bIns="41910" numCol="1" spcCol="1270" anchor="ctr" anchorCtr="0">
          <a:noAutofit/>
        </a:bodyPr>
        <a:lstStyle/>
        <a:p>
          <a:pPr lvl="0" algn="ctr" defTabSz="488950">
            <a:lnSpc>
              <a:spcPct val="90000"/>
            </a:lnSpc>
            <a:spcBef>
              <a:spcPct val="0"/>
            </a:spcBef>
            <a:spcAft>
              <a:spcPct val="35000"/>
            </a:spcAft>
          </a:pPr>
          <a:r>
            <a:rPr lang="en-US" sz="1100" kern="1200"/>
            <a:t>SISTEM DC90</a:t>
          </a:r>
        </a:p>
      </dsp:txBody>
      <dsp:txXfrm>
        <a:off x="1192604" y="196209"/>
        <a:ext cx="1065747" cy="286993"/>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036457C-1173-496D-8AF3-5E3C43A5C672}">
      <dsp:nvSpPr>
        <dsp:cNvPr id="0" name=""/>
        <dsp:cNvSpPr/>
      </dsp:nvSpPr>
      <dsp:spPr>
        <a:xfrm>
          <a:off x="72985" y="0"/>
          <a:ext cx="2373464" cy="462684"/>
        </a:xfrm>
        <a:prstGeom prst="leftRightRibbon">
          <a:avLst/>
        </a:prstGeom>
        <a:solidFill>
          <a:schemeClr val="accent1">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sp>
    <dsp:sp modelId="{1C5FCD79-AA11-48AE-938C-48FC2644B350}">
      <dsp:nvSpPr>
        <dsp:cNvPr id="0" name=""/>
        <dsp:cNvSpPr/>
      </dsp:nvSpPr>
      <dsp:spPr>
        <a:xfrm>
          <a:off x="483822" y="86186"/>
          <a:ext cx="707496" cy="216281"/>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2004" rIns="0" bIns="34290" numCol="1" spcCol="1270" anchor="ctr" anchorCtr="0">
          <a:noAutofit/>
        </a:bodyPr>
        <a:lstStyle/>
        <a:p>
          <a:pPr lvl="0" algn="ctr" defTabSz="400050">
            <a:lnSpc>
              <a:spcPct val="90000"/>
            </a:lnSpc>
            <a:spcBef>
              <a:spcPct val="0"/>
            </a:spcBef>
            <a:spcAft>
              <a:spcPct val="35000"/>
            </a:spcAft>
          </a:pPr>
          <a:r>
            <a:rPr lang="en-US" sz="900" kern="1200"/>
            <a:t>SISTEM DC90</a:t>
          </a:r>
        </a:p>
      </dsp:txBody>
      <dsp:txXfrm>
        <a:off x="483822" y="86186"/>
        <a:ext cx="707496" cy="216281"/>
      </dsp:txXfrm>
    </dsp:sp>
    <dsp:sp modelId="{575CADAD-7602-44B4-8FFF-A144CFA9666A}">
      <dsp:nvSpPr>
        <dsp:cNvPr id="0" name=""/>
        <dsp:cNvSpPr/>
      </dsp:nvSpPr>
      <dsp:spPr>
        <a:xfrm>
          <a:off x="1108088" y="154999"/>
          <a:ext cx="959205" cy="226715"/>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28448" rIns="0" bIns="30480" numCol="1" spcCol="1270" anchor="ctr" anchorCtr="0">
          <a:noAutofit/>
        </a:bodyPr>
        <a:lstStyle/>
        <a:p>
          <a:pPr lvl="0" algn="ctr" defTabSz="355600">
            <a:lnSpc>
              <a:spcPct val="90000"/>
            </a:lnSpc>
            <a:spcBef>
              <a:spcPct val="0"/>
            </a:spcBef>
            <a:spcAft>
              <a:spcPct val="35000"/>
            </a:spcAft>
          </a:pPr>
          <a:r>
            <a:rPr lang="en-US" sz="800" kern="1200"/>
            <a:t>SISTEM DC90</a:t>
          </a:r>
        </a:p>
      </dsp:txBody>
      <dsp:txXfrm>
        <a:off x="1108088" y="154999"/>
        <a:ext cx="959205" cy="226715"/>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036457C-1173-496D-8AF3-5E3C43A5C672}">
      <dsp:nvSpPr>
        <dsp:cNvPr id="0" name=""/>
        <dsp:cNvSpPr/>
      </dsp:nvSpPr>
      <dsp:spPr>
        <a:xfrm>
          <a:off x="283807" y="0"/>
          <a:ext cx="1954807" cy="461433"/>
        </a:xfrm>
        <a:prstGeom prst="leftRightRibbon">
          <a:avLst/>
        </a:prstGeom>
        <a:solidFill>
          <a:schemeClr val="accent1">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sp>
    <dsp:sp modelId="{1C5FCD79-AA11-48AE-938C-48FC2644B350}">
      <dsp:nvSpPr>
        <dsp:cNvPr id="0" name=""/>
        <dsp:cNvSpPr/>
      </dsp:nvSpPr>
      <dsp:spPr>
        <a:xfrm>
          <a:off x="487411" y="85953"/>
          <a:ext cx="705584" cy="215697"/>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2004" rIns="0" bIns="34290" numCol="1" spcCol="1270" anchor="ctr" anchorCtr="0">
          <a:noAutofit/>
        </a:bodyPr>
        <a:lstStyle/>
        <a:p>
          <a:pPr lvl="0" algn="ctr" defTabSz="400050">
            <a:lnSpc>
              <a:spcPct val="90000"/>
            </a:lnSpc>
            <a:spcBef>
              <a:spcPct val="0"/>
            </a:spcBef>
            <a:spcAft>
              <a:spcPct val="35000"/>
            </a:spcAft>
          </a:pPr>
          <a:r>
            <a:rPr lang="en-US" sz="900" kern="1200"/>
            <a:t>SISTEM DC90</a:t>
          </a:r>
        </a:p>
      </dsp:txBody>
      <dsp:txXfrm>
        <a:off x="487411" y="85953"/>
        <a:ext cx="705584" cy="215697"/>
      </dsp:txXfrm>
    </dsp:sp>
    <dsp:sp modelId="{575CADAD-7602-44B4-8FFF-A144CFA9666A}">
      <dsp:nvSpPr>
        <dsp:cNvPr id="0" name=""/>
        <dsp:cNvSpPr/>
      </dsp:nvSpPr>
      <dsp:spPr>
        <a:xfrm>
          <a:off x="1109991" y="154580"/>
          <a:ext cx="956613" cy="226102"/>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28448" rIns="0" bIns="30480" numCol="1" spcCol="1270" anchor="ctr" anchorCtr="0">
          <a:noAutofit/>
        </a:bodyPr>
        <a:lstStyle/>
        <a:p>
          <a:pPr lvl="0" algn="ctr" defTabSz="355600">
            <a:lnSpc>
              <a:spcPct val="90000"/>
            </a:lnSpc>
            <a:spcBef>
              <a:spcPct val="0"/>
            </a:spcBef>
            <a:spcAft>
              <a:spcPct val="35000"/>
            </a:spcAft>
          </a:pPr>
          <a:r>
            <a:rPr lang="en-US" sz="800" kern="1200"/>
            <a:t>SISTEM DC90</a:t>
          </a:r>
        </a:p>
      </dsp:txBody>
      <dsp:txXfrm>
        <a:off x="1109991" y="154580"/>
        <a:ext cx="956613" cy="226102"/>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036457C-1173-496D-8AF3-5E3C43A5C672}">
      <dsp:nvSpPr>
        <dsp:cNvPr id="0" name=""/>
        <dsp:cNvSpPr/>
      </dsp:nvSpPr>
      <dsp:spPr>
        <a:xfrm>
          <a:off x="0" y="0"/>
          <a:ext cx="2400298" cy="552449"/>
        </a:xfrm>
        <a:prstGeom prst="leftRightRibbon">
          <a:avLst/>
        </a:prstGeom>
        <a:solidFill>
          <a:schemeClr val="accent1">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sp>
    <dsp:sp modelId="{1C5FCD79-AA11-48AE-938C-48FC2644B350}">
      <dsp:nvSpPr>
        <dsp:cNvPr id="0" name=""/>
        <dsp:cNvSpPr/>
      </dsp:nvSpPr>
      <dsp:spPr>
        <a:xfrm>
          <a:off x="262124" y="96678"/>
          <a:ext cx="834945" cy="270700"/>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5560" rIns="0" bIns="38100" numCol="1" spcCol="1270" anchor="ctr" anchorCtr="0">
          <a:noAutofit/>
        </a:bodyPr>
        <a:lstStyle/>
        <a:p>
          <a:pPr lvl="0" algn="ctr" defTabSz="444500">
            <a:lnSpc>
              <a:spcPct val="90000"/>
            </a:lnSpc>
            <a:spcBef>
              <a:spcPct val="0"/>
            </a:spcBef>
            <a:spcAft>
              <a:spcPct val="35000"/>
            </a:spcAft>
          </a:pPr>
          <a:r>
            <a:rPr lang="en-US" sz="1000" kern="1200"/>
            <a:t>SISTEM DC90</a:t>
          </a:r>
        </a:p>
      </dsp:txBody>
      <dsp:txXfrm>
        <a:off x="262124" y="96678"/>
        <a:ext cx="834945" cy="270700"/>
      </dsp:txXfrm>
    </dsp:sp>
    <dsp:sp modelId="{575CADAD-7602-44B4-8FFF-A144CFA9666A}">
      <dsp:nvSpPr>
        <dsp:cNvPr id="0" name=""/>
        <dsp:cNvSpPr/>
      </dsp:nvSpPr>
      <dsp:spPr>
        <a:xfrm>
          <a:off x="1121064" y="185070"/>
          <a:ext cx="894415" cy="270700"/>
        </a:xfrm>
        <a:prstGeom prst="rect">
          <a:avLst/>
        </a:prstGeom>
        <a:noFill/>
        <a:ln w="38100" cap="flat" cmpd="sng" algn="ctr">
          <a:noFill/>
          <a:prstDash val="solid"/>
        </a:ln>
        <a:effectLst>
          <a:outerShdw blurRad="40000" dist="20000" dir="5400000" rotWithShape="0">
            <a:srgbClr val="000000">
              <a:alpha val="38000"/>
            </a:srgbClr>
          </a:outerShdw>
        </a:effectLst>
        <a:sp3d/>
      </dsp:spPr>
      <dsp:style>
        <a:lnRef idx="3">
          <a:scrgbClr r="0" g="0" b="0"/>
        </a:lnRef>
        <a:fillRef idx="1">
          <a:scrgbClr r="0" g="0" b="0"/>
        </a:fillRef>
        <a:effectRef idx="1">
          <a:scrgbClr r="0" g="0" b="0"/>
        </a:effectRef>
        <a:fontRef idx="minor">
          <a:schemeClr val="lt1"/>
        </a:fontRef>
      </dsp:style>
      <dsp:txBody>
        <a:bodyPr spcFirstLastPara="0" vert="horz" wrap="square" lIns="0" tIns="32004" rIns="0" bIns="34290" numCol="1" spcCol="1270" anchor="ctr" anchorCtr="0">
          <a:noAutofit/>
        </a:bodyPr>
        <a:lstStyle/>
        <a:p>
          <a:pPr lvl="0" algn="ctr" defTabSz="400050">
            <a:lnSpc>
              <a:spcPct val="90000"/>
            </a:lnSpc>
            <a:spcBef>
              <a:spcPct val="0"/>
            </a:spcBef>
            <a:spcAft>
              <a:spcPct val="35000"/>
            </a:spcAft>
          </a:pPr>
          <a:r>
            <a:rPr lang="en-US" sz="900" kern="1200"/>
            <a:t>SISTEM DC90</a:t>
          </a:r>
        </a:p>
      </dsp:txBody>
      <dsp:txXfrm>
        <a:off x="1121064" y="185070"/>
        <a:ext cx="894415" cy="270700"/>
      </dsp:txXfrm>
    </dsp:sp>
  </dsp:spTree>
</dsp:drawing>
</file>

<file path=xl/diagrams/layout1.xml><?xml version="1.0" encoding="utf-8"?>
<dgm:layoutDef xmlns:dgm="http://schemas.openxmlformats.org/drawingml/2006/diagram" xmlns:a="http://schemas.openxmlformats.org/drawingml/2006/main" uniqueId="urn:microsoft.com/office/officeart/2005/8/layout/arrow6">
  <dgm:title val=""/>
  <dgm:desc val=""/>
  <dgm:catLst>
    <dgm:cat type="relationship" pri="4000"/>
    <dgm:cat type="process" pri="29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ctr"/>
      <dgm:param type="vertAlign" val="mid"/>
      <dgm:param type="ar" val="2.5"/>
    </dgm:alg>
    <dgm:shape xmlns:r="http://schemas.openxmlformats.org/officeDocument/2006/relationships" r:blip="">
      <dgm:adjLst/>
    </dgm:shape>
    <dgm:presOf/>
    <dgm:constrLst>
      <dgm:constr type="primFontSz" for="des" ptType="node" op="equ"/>
      <dgm:constr type="w" for="ch" forName="ribbon" refType="h" refFor="ch" refForName="ribbon" fact="2.5"/>
      <dgm:constr type="h" for="ch" forName="leftArrowText" refType="h" fact="0.49"/>
      <dgm:constr type="ctrY" for="ch" forName="leftArrowText" refType="ctrY" refFor="ch" refForName="ribbon"/>
      <dgm:constr type="ctrYOff" for="ch" forName="leftArrowText" refType="h" refFor="ch" refForName="ribbon" fact="-0.08"/>
      <dgm:constr type="l" for="ch" forName="leftArrowText" refType="w" refFor="ch" refForName="ribbon" fact="0.12"/>
      <dgm:constr type="r" for="ch" forName="leftArrowText" refType="w" refFor="ch" refForName="ribbon" fact="0.45"/>
      <dgm:constr type="h" for="ch" forName="rightArrowText" refType="h" fact="0.49"/>
      <dgm:constr type="ctrY" for="ch" forName="rightArrowText" refType="ctrY" refFor="ch" refForName="ribbon"/>
      <dgm:constr type="ctrYOff" for="ch" forName="rightArrowText" refType="h" refFor="ch" refForName="ribbon" fact="0.08"/>
      <dgm:constr type="l" for="ch" forName="rightArrowText" refType="w" refFor="ch" refForName="ribbon" fact="0.5"/>
      <dgm:constr type="r" for="ch" forName="rightArrowText" refType="w" refFor="ch" refForName="ribbon" fact="0.89"/>
    </dgm:constrLst>
    <dgm:ruleLst/>
    <dgm:choose name="Name0">
      <dgm:if name="Name1" axis="ch" ptType="node" func="cnt" op="gte" val="1">
        <dgm:layoutNode name="ribbon" styleLbl="node1">
          <dgm:alg type="sp"/>
          <dgm:shape xmlns:r="http://schemas.openxmlformats.org/officeDocument/2006/relationships" type="leftRightRibbon" r:blip="">
            <dgm:adjLst/>
          </dgm:shape>
          <dgm:presOf/>
          <dgm:constrLst/>
          <dgm:ruleLst/>
        </dgm:layoutNode>
        <dgm:layoutNode name="leftArrowText" styleLbl="node1">
          <dgm:varLst>
            <dgm:chMax val="0"/>
            <dgm:bulletEnabled val="1"/>
          </dgm:varLst>
          <dgm:alg type="tx">
            <dgm:param type="txAnchorVertCh" val="mid"/>
          </dgm:alg>
          <dgm:shape xmlns:r="http://schemas.openxmlformats.org/officeDocument/2006/relationships" type="rect" r:blip="" hideGeom="1">
            <dgm:adjLst/>
          </dgm:shape>
          <dgm:choose name="Name2">
            <dgm:if name="Name3" func="var" arg="dir" op="equ" val="norm">
              <dgm:presOf axis="ch desOrSelf" ptType="node node" st="1 1" cnt="1 0"/>
            </dgm:if>
            <dgm:else name="Name4">
              <dgm:presOf axis="ch desOrSelf" ptType="node node" st="2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layoutNode name="rightArrowText" styleLbl="node1">
          <dgm:varLst>
            <dgm:chMax val="0"/>
            <dgm:bulletEnabled val="1"/>
          </dgm:varLst>
          <dgm:alg type="tx">
            <dgm:param type="txAnchorVertCh" val="mid"/>
          </dgm:alg>
          <dgm:shape xmlns:r="http://schemas.openxmlformats.org/officeDocument/2006/relationships" type="rect" r:blip="" hideGeom="1">
            <dgm:adjLst/>
          </dgm:shape>
          <dgm:choose name="Name5">
            <dgm:if name="Name6" func="var" arg="dir" op="equ" val="norm">
              <dgm:presOf axis="ch desOrSelf" ptType="node node" st="2 1" cnt="1 0"/>
            </dgm:if>
            <dgm:else name="Name7">
              <dgm:presOf axis="ch desOrSelf" ptType="node node" st="1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if>
      <dgm:else name="Name8"/>
    </dgm:choose>
  </dgm:layoutNode>
</dgm:layoutDef>
</file>

<file path=xl/diagrams/layout10.xml><?xml version="1.0" encoding="utf-8"?>
<dgm:layoutDef xmlns:dgm="http://schemas.openxmlformats.org/drawingml/2006/diagram" xmlns:a="http://schemas.openxmlformats.org/drawingml/2006/main" uniqueId="urn:microsoft.com/office/officeart/2005/8/layout/arrow6">
  <dgm:title val=""/>
  <dgm:desc val=""/>
  <dgm:catLst>
    <dgm:cat type="relationship" pri="4000"/>
    <dgm:cat type="process" pri="29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ctr"/>
      <dgm:param type="vertAlign" val="mid"/>
      <dgm:param type="ar" val="2.5"/>
    </dgm:alg>
    <dgm:shape xmlns:r="http://schemas.openxmlformats.org/officeDocument/2006/relationships" r:blip="">
      <dgm:adjLst/>
    </dgm:shape>
    <dgm:presOf/>
    <dgm:constrLst>
      <dgm:constr type="primFontSz" for="des" ptType="node" op="equ"/>
      <dgm:constr type="w" for="ch" forName="ribbon" refType="h" refFor="ch" refForName="ribbon" fact="2.5"/>
      <dgm:constr type="h" for="ch" forName="leftArrowText" refType="h" fact="0.49"/>
      <dgm:constr type="ctrY" for="ch" forName="leftArrowText" refType="ctrY" refFor="ch" refForName="ribbon"/>
      <dgm:constr type="ctrYOff" for="ch" forName="leftArrowText" refType="h" refFor="ch" refForName="ribbon" fact="-0.08"/>
      <dgm:constr type="l" for="ch" forName="leftArrowText" refType="w" refFor="ch" refForName="ribbon" fact="0.12"/>
      <dgm:constr type="r" for="ch" forName="leftArrowText" refType="w" refFor="ch" refForName="ribbon" fact="0.45"/>
      <dgm:constr type="h" for="ch" forName="rightArrowText" refType="h" fact="0.49"/>
      <dgm:constr type="ctrY" for="ch" forName="rightArrowText" refType="ctrY" refFor="ch" refForName="ribbon"/>
      <dgm:constr type="ctrYOff" for="ch" forName="rightArrowText" refType="h" refFor="ch" refForName="ribbon" fact="0.08"/>
      <dgm:constr type="l" for="ch" forName="rightArrowText" refType="w" refFor="ch" refForName="ribbon" fact="0.5"/>
      <dgm:constr type="r" for="ch" forName="rightArrowText" refType="w" refFor="ch" refForName="ribbon" fact="0.89"/>
    </dgm:constrLst>
    <dgm:ruleLst/>
    <dgm:choose name="Name0">
      <dgm:if name="Name1" axis="ch" ptType="node" func="cnt" op="gte" val="1">
        <dgm:layoutNode name="ribbon" styleLbl="node1">
          <dgm:alg type="sp"/>
          <dgm:shape xmlns:r="http://schemas.openxmlformats.org/officeDocument/2006/relationships" type="leftRightRibbon" r:blip="">
            <dgm:adjLst/>
          </dgm:shape>
          <dgm:presOf/>
          <dgm:constrLst/>
          <dgm:ruleLst/>
        </dgm:layoutNode>
        <dgm:layoutNode name="leftArrowText" styleLbl="node1">
          <dgm:varLst>
            <dgm:chMax val="0"/>
            <dgm:bulletEnabled val="1"/>
          </dgm:varLst>
          <dgm:alg type="tx">
            <dgm:param type="txAnchorVertCh" val="mid"/>
          </dgm:alg>
          <dgm:shape xmlns:r="http://schemas.openxmlformats.org/officeDocument/2006/relationships" type="rect" r:blip="" hideGeom="1">
            <dgm:adjLst/>
          </dgm:shape>
          <dgm:choose name="Name2">
            <dgm:if name="Name3" func="var" arg="dir" op="equ" val="norm">
              <dgm:presOf axis="ch desOrSelf" ptType="node node" st="1 1" cnt="1 0"/>
            </dgm:if>
            <dgm:else name="Name4">
              <dgm:presOf axis="ch desOrSelf" ptType="node node" st="2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layoutNode name="rightArrowText" styleLbl="node1">
          <dgm:varLst>
            <dgm:chMax val="0"/>
            <dgm:bulletEnabled val="1"/>
          </dgm:varLst>
          <dgm:alg type="tx">
            <dgm:param type="txAnchorVertCh" val="mid"/>
          </dgm:alg>
          <dgm:shape xmlns:r="http://schemas.openxmlformats.org/officeDocument/2006/relationships" type="rect" r:blip="" hideGeom="1">
            <dgm:adjLst/>
          </dgm:shape>
          <dgm:choose name="Name5">
            <dgm:if name="Name6" func="var" arg="dir" op="equ" val="norm">
              <dgm:presOf axis="ch desOrSelf" ptType="node node" st="2 1" cnt="1 0"/>
            </dgm:if>
            <dgm:else name="Name7">
              <dgm:presOf axis="ch desOrSelf" ptType="node node" st="1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if>
      <dgm:else name="Name8"/>
    </dgm:choose>
  </dgm:layoutNode>
</dgm:layoutDef>
</file>

<file path=xl/diagrams/layout11.xml><?xml version="1.0" encoding="utf-8"?>
<dgm:layoutDef xmlns:dgm="http://schemas.openxmlformats.org/drawingml/2006/diagram" xmlns:a="http://schemas.openxmlformats.org/drawingml/2006/main" uniqueId="urn:microsoft.com/office/officeart/2005/8/layout/arrow6">
  <dgm:title val=""/>
  <dgm:desc val=""/>
  <dgm:catLst>
    <dgm:cat type="relationship" pri="4000"/>
    <dgm:cat type="process" pri="29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ctr"/>
      <dgm:param type="vertAlign" val="mid"/>
      <dgm:param type="ar" val="2.5"/>
    </dgm:alg>
    <dgm:shape xmlns:r="http://schemas.openxmlformats.org/officeDocument/2006/relationships" r:blip="">
      <dgm:adjLst/>
    </dgm:shape>
    <dgm:presOf/>
    <dgm:constrLst>
      <dgm:constr type="primFontSz" for="des" ptType="node" op="equ"/>
      <dgm:constr type="w" for="ch" forName="ribbon" refType="h" refFor="ch" refForName="ribbon" fact="2.5"/>
      <dgm:constr type="h" for="ch" forName="leftArrowText" refType="h" fact="0.49"/>
      <dgm:constr type="ctrY" for="ch" forName="leftArrowText" refType="ctrY" refFor="ch" refForName="ribbon"/>
      <dgm:constr type="ctrYOff" for="ch" forName="leftArrowText" refType="h" refFor="ch" refForName="ribbon" fact="-0.08"/>
      <dgm:constr type="l" for="ch" forName="leftArrowText" refType="w" refFor="ch" refForName="ribbon" fact="0.12"/>
      <dgm:constr type="r" for="ch" forName="leftArrowText" refType="w" refFor="ch" refForName="ribbon" fact="0.45"/>
      <dgm:constr type="h" for="ch" forName="rightArrowText" refType="h" fact="0.49"/>
      <dgm:constr type="ctrY" for="ch" forName="rightArrowText" refType="ctrY" refFor="ch" refForName="ribbon"/>
      <dgm:constr type="ctrYOff" for="ch" forName="rightArrowText" refType="h" refFor="ch" refForName="ribbon" fact="0.08"/>
      <dgm:constr type="l" for="ch" forName="rightArrowText" refType="w" refFor="ch" refForName="ribbon" fact="0.5"/>
      <dgm:constr type="r" for="ch" forName="rightArrowText" refType="w" refFor="ch" refForName="ribbon" fact="0.89"/>
    </dgm:constrLst>
    <dgm:ruleLst/>
    <dgm:choose name="Name0">
      <dgm:if name="Name1" axis="ch" ptType="node" func="cnt" op="gte" val="1">
        <dgm:layoutNode name="ribbon" styleLbl="node1">
          <dgm:alg type="sp"/>
          <dgm:shape xmlns:r="http://schemas.openxmlformats.org/officeDocument/2006/relationships" type="leftRightRibbon" r:blip="">
            <dgm:adjLst/>
          </dgm:shape>
          <dgm:presOf/>
          <dgm:constrLst/>
          <dgm:ruleLst/>
        </dgm:layoutNode>
        <dgm:layoutNode name="leftArrowText" styleLbl="node1">
          <dgm:varLst>
            <dgm:chMax val="0"/>
            <dgm:bulletEnabled val="1"/>
          </dgm:varLst>
          <dgm:alg type="tx">
            <dgm:param type="txAnchorVertCh" val="mid"/>
          </dgm:alg>
          <dgm:shape xmlns:r="http://schemas.openxmlformats.org/officeDocument/2006/relationships" type="rect" r:blip="" hideGeom="1">
            <dgm:adjLst/>
          </dgm:shape>
          <dgm:choose name="Name2">
            <dgm:if name="Name3" func="var" arg="dir" op="equ" val="norm">
              <dgm:presOf axis="ch desOrSelf" ptType="node node" st="1 1" cnt="1 0"/>
            </dgm:if>
            <dgm:else name="Name4">
              <dgm:presOf axis="ch desOrSelf" ptType="node node" st="2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layoutNode name="rightArrowText" styleLbl="node1">
          <dgm:varLst>
            <dgm:chMax val="0"/>
            <dgm:bulletEnabled val="1"/>
          </dgm:varLst>
          <dgm:alg type="tx">
            <dgm:param type="txAnchorVertCh" val="mid"/>
          </dgm:alg>
          <dgm:shape xmlns:r="http://schemas.openxmlformats.org/officeDocument/2006/relationships" type="rect" r:blip="" hideGeom="1">
            <dgm:adjLst/>
          </dgm:shape>
          <dgm:choose name="Name5">
            <dgm:if name="Name6" func="var" arg="dir" op="equ" val="norm">
              <dgm:presOf axis="ch desOrSelf" ptType="node node" st="2 1" cnt="1 0"/>
            </dgm:if>
            <dgm:else name="Name7">
              <dgm:presOf axis="ch desOrSelf" ptType="node node" st="1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if>
      <dgm:else name="Name8"/>
    </dgm:choose>
  </dgm:layoutNode>
</dgm:layoutDef>
</file>

<file path=xl/diagrams/layout2.xml><?xml version="1.0" encoding="utf-8"?>
<dgm:layoutDef xmlns:dgm="http://schemas.openxmlformats.org/drawingml/2006/diagram" xmlns:a="http://schemas.openxmlformats.org/drawingml/2006/main" uniqueId="urn:microsoft.com/office/officeart/2005/8/layout/arrow6">
  <dgm:title val=""/>
  <dgm:desc val=""/>
  <dgm:catLst>
    <dgm:cat type="relationship" pri="4000"/>
    <dgm:cat type="process" pri="29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ctr"/>
      <dgm:param type="vertAlign" val="mid"/>
      <dgm:param type="ar" val="2.5"/>
    </dgm:alg>
    <dgm:shape xmlns:r="http://schemas.openxmlformats.org/officeDocument/2006/relationships" r:blip="">
      <dgm:adjLst/>
    </dgm:shape>
    <dgm:presOf/>
    <dgm:constrLst>
      <dgm:constr type="primFontSz" for="des" ptType="node" op="equ"/>
      <dgm:constr type="w" for="ch" forName="ribbon" refType="h" refFor="ch" refForName="ribbon" fact="2.5"/>
      <dgm:constr type="h" for="ch" forName="leftArrowText" refType="h" fact="0.49"/>
      <dgm:constr type="ctrY" for="ch" forName="leftArrowText" refType="ctrY" refFor="ch" refForName="ribbon"/>
      <dgm:constr type="ctrYOff" for="ch" forName="leftArrowText" refType="h" refFor="ch" refForName="ribbon" fact="-0.08"/>
      <dgm:constr type="l" for="ch" forName="leftArrowText" refType="w" refFor="ch" refForName="ribbon" fact="0.12"/>
      <dgm:constr type="r" for="ch" forName="leftArrowText" refType="w" refFor="ch" refForName="ribbon" fact="0.45"/>
      <dgm:constr type="h" for="ch" forName="rightArrowText" refType="h" fact="0.49"/>
      <dgm:constr type="ctrY" for="ch" forName="rightArrowText" refType="ctrY" refFor="ch" refForName="ribbon"/>
      <dgm:constr type="ctrYOff" for="ch" forName="rightArrowText" refType="h" refFor="ch" refForName="ribbon" fact="0.08"/>
      <dgm:constr type="l" for="ch" forName="rightArrowText" refType="w" refFor="ch" refForName="ribbon" fact="0.5"/>
      <dgm:constr type="r" for="ch" forName="rightArrowText" refType="w" refFor="ch" refForName="ribbon" fact="0.89"/>
    </dgm:constrLst>
    <dgm:ruleLst/>
    <dgm:choose name="Name0">
      <dgm:if name="Name1" axis="ch" ptType="node" func="cnt" op="gte" val="1">
        <dgm:layoutNode name="ribbon" styleLbl="node1">
          <dgm:alg type="sp"/>
          <dgm:shape xmlns:r="http://schemas.openxmlformats.org/officeDocument/2006/relationships" type="leftRightRibbon" r:blip="">
            <dgm:adjLst/>
          </dgm:shape>
          <dgm:presOf/>
          <dgm:constrLst/>
          <dgm:ruleLst/>
        </dgm:layoutNode>
        <dgm:layoutNode name="leftArrowText" styleLbl="node1">
          <dgm:varLst>
            <dgm:chMax val="0"/>
            <dgm:bulletEnabled val="1"/>
          </dgm:varLst>
          <dgm:alg type="tx">
            <dgm:param type="txAnchorVertCh" val="mid"/>
          </dgm:alg>
          <dgm:shape xmlns:r="http://schemas.openxmlformats.org/officeDocument/2006/relationships" type="rect" r:blip="" hideGeom="1">
            <dgm:adjLst/>
          </dgm:shape>
          <dgm:choose name="Name2">
            <dgm:if name="Name3" func="var" arg="dir" op="equ" val="norm">
              <dgm:presOf axis="ch desOrSelf" ptType="node node" st="1 1" cnt="1 0"/>
            </dgm:if>
            <dgm:else name="Name4">
              <dgm:presOf axis="ch desOrSelf" ptType="node node" st="2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layoutNode name="rightArrowText" styleLbl="node1">
          <dgm:varLst>
            <dgm:chMax val="0"/>
            <dgm:bulletEnabled val="1"/>
          </dgm:varLst>
          <dgm:alg type="tx">
            <dgm:param type="txAnchorVertCh" val="mid"/>
          </dgm:alg>
          <dgm:shape xmlns:r="http://schemas.openxmlformats.org/officeDocument/2006/relationships" type="rect" r:blip="" hideGeom="1">
            <dgm:adjLst/>
          </dgm:shape>
          <dgm:choose name="Name5">
            <dgm:if name="Name6" func="var" arg="dir" op="equ" val="norm">
              <dgm:presOf axis="ch desOrSelf" ptType="node node" st="2 1" cnt="1 0"/>
            </dgm:if>
            <dgm:else name="Name7">
              <dgm:presOf axis="ch desOrSelf" ptType="node node" st="1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if>
      <dgm:else name="Name8"/>
    </dgm:choose>
  </dgm:layoutNode>
</dgm:layoutDef>
</file>

<file path=xl/diagrams/layout3.xml><?xml version="1.0" encoding="utf-8"?>
<dgm:layoutDef xmlns:dgm="http://schemas.openxmlformats.org/drawingml/2006/diagram" xmlns:a="http://schemas.openxmlformats.org/drawingml/2006/main" uniqueId="urn:microsoft.com/office/officeart/2005/8/layout/arrow6">
  <dgm:title val=""/>
  <dgm:desc val=""/>
  <dgm:catLst>
    <dgm:cat type="relationship" pri="4000"/>
    <dgm:cat type="process" pri="29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ctr"/>
      <dgm:param type="vertAlign" val="mid"/>
      <dgm:param type="ar" val="2.5"/>
    </dgm:alg>
    <dgm:shape xmlns:r="http://schemas.openxmlformats.org/officeDocument/2006/relationships" r:blip="">
      <dgm:adjLst/>
    </dgm:shape>
    <dgm:presOf/>
    <dgm:constrLst>
      <dgm:constr type="primFontSz" for="des" ptType="node" op="equ"/>
      <dgm:constr type="w" for="ch" forName="ribbon" refType="h" refFor="ch" refForName="ribbon" fact="2.5"/>
      <dgm:constr type="h" for="ch" forName="leftArrowText" refType="h" fact="0.49"/>
      <dgm:constr type="ctrY" for="ch" forName="leftArrowText" refType="ctrY" refFor="ch" refForName="ribbon"/>
      <dgm:constr type="ctrYOff" for="ch" forName="leftArrowText" refType="h" refFor="ch" refForName="ribbon" fact="-0.08"/>
      <dgm:constr type="l" for="ch" forName="leftArrowText" refType="w" refFor="ch" refForName="ribbon" fact="0.12"/>
      <dgm:constr type="r" for="ch" forName="leftArrowText" refType="w" refFor="ch" refForName="ribbon" fact="0.45"/>
      <dgm:constr type="h" for="ch" forName="rightArrowText" refType="h" fact="0.49"/>
      <dgm:constr type="ctrY" for="ch" forName="rightArrowText" refType="ctrY" refFor="ch" refForName="ribbon"/>
      <dgm:constr type="ctrYOff" for="ch" forName="rightArrowText" refType="h" refFor="ch" refForName="ribbon" fact="0.08"/>
      <dgm:constr type="l" for="ch" forName="rightArrowText" refType="w" refFor="ch" refForName="ribbon" fact="0.5"/>
      <dgm:constr type="r" for="ch" forName="rightArrowText" refType="w" refFor="ch" refForName="ribbon" fact="0.89"/>
    </dgm:constrLst>
    <dgm:ruleLst/>
    <dgm:choose name="Name0">
      <dgm:if name="Name1" axis="ch" ptType="node" func="cnt" op="gte" val="1">
        <dgm:layoutNode name="ribbon" styleLbl="node1">
          <dgm:alg type="sp"/>
          <dgm:shape xmlns:r="http://schemas.openxmlformats.org/officeDocument/2006/relationships" type="leftRightRibbon" r:blip="">
            <dgm:adjLst/>
          </dgm:shape>
          <dgm:presOf/>
          <dgm:constrLst/>
          <dgm:ruleLst/>
        </dgm:layoutNode>
        <dgm:layoutNode name="leftArrowText" styleLbl="node1">
          <dgm:varLst>
            <dgm:chMax val="0"/>
            <dgm:bulletEnabled val="1"/>
          </dgm:varLst>
          <dgm:alg type="tx">
            <dgm:param type="txAnchorVertCh" val="mid"/>
          </dgm:alg>
          <dgm:shape xmlns:r="http://schemas.openxmlformats.org/officeDocument/2006/relationships" type="rect" r:blip="" hideGeom="1">
            <dgm:adjLst/>
          </dgm:shape>
          <dgm:choose name="Name2">
            <dgm:if name="Name3" func="var" arg="dir" op="equ" val="norm">
              <dgm:presOf axis="ch desOrSelf" ptType="node node" st="1 1" cnt="1 0"/>
            </dgm:if>
            <dgm:else name="Name4">
              <dgm:presOf axis="ch desOrSelf" ptType="node node" st="2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layoutNode name="rightArrowText" styleLbl="node1">
          <dgm:varLst>
            <dgm:chMax val="0"/>
            <dgm:bulletEnabled val="1"/>
          </dgm:varLst>
          <dgm:alg type="tx">
            <dgm:param type="txAnchorVertCh" val="mid"/>
          </dgm:alg>
          <dgm:shape xmlns:r="http://schemas.openxmlformats.org/officeDocument/2006/relationships" type="rect" r:blip="" hideGeom="1">
            <dgm:adjLst/>
          </dgm:shape>
          <dgm:choose name="Name5">
            <dgm:if name="Name6" func="var" arg="dir" op="equ" val="norm">
              <dgm:presOf axis="ch desOrSelf" ptType="node node" st="2 1" cnt="1 0"/>
            </dgm:if>
            <dgm:else name="Name7">
              <dgm:presOf axis="ch desOrSelf" ptType="node node" st="1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if>
      <dgm:else name="Name8"/>
    </dgm:choose>
  </dgm:layoutNode>
</dgm:layoutDef>
</file>

<file path=xl/diagrams/layout4.xml><?xml version="1.0" encoding="utf-8"?>
<dgm:layoutDef xmlns:dgm="http://schemas.openxmlformats.org/drawingml/2006/diagram" xmlns:a="http://schemas.openxmlformats.org/drawingml/2006/main" uniqueId="urn:microsoft.com/office/officeart/2005/8/layout/arrow6">
  <dgm:title val=""/>
  <dgm:desc val=""/>
  <dgm:catLst>
    <dgm:cat type="relationship" pri="4000"/>
    <dgm:cat type="process" pri="29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ctr"/>
      <dgm:param type="vertAlign" val="mid"/>
      <dgm:param type="ar" val="2.5"/>
    </dgm:alg>
    <dgm:shape xmlns:r="http://schemas.openxmlformats.org/officeDocument/2006/relationships" r:blip="">
      <dgm:adjLst/>
    </dgm:shape>
    <dgm:presOf/>
    <dgm:constrLst>
      <dgm:constr type="primFontSz" for="des" ptType="node" op="equ"/>
      <dgm:constr type="w" for="ch" forName="ribbon" refType="h" refFor="ch" refForName="ribbon" fact="2.5"/>
      <dgm:constr type="h" for="ch" forName="leftArrowText" refType="h" fact="0.49"/>
      <dgm:constr type="ctrY" for="ch" forName="leftArrowText" refType="ctrY" refFor="ch" refForName="ribbon"/>
      <dgm:constr type="ctrYOff" for="ch" forName="leftArrowText" refType="h" refFor="ch" refForName="ribbon" fact="-0.08"/>
      <dgm:constr type="l" for="ch" forName="leftArrowText" refType="w" refFor="ch" refForName="ribbon" fact="0.12"/>
      <dgm:constr type="r" for="ch" forName="leftArrowText" refType="w" refFor="ch" refForName="ribbon" fact="0.45"/>
      <dgm:constr type="h" for="ch" forName="rightArrowText" refType="h" fact="0.49"/>
      <dgm:constr type="ctrY" for="ch" forName="rightArrowText" refType="ctrY" refFor="ch" refForName="ribbon"/>
      <dgm:constr type="ctrYOff" for="ch" forName="rightArrowText" refType="h" refFor="ch" refForName="ribbon" fact="0.08"/>
      <dgm:constr type="l" for="ch" forName="rightArrowText" refType="w" refFor="ch" refForName="ribbon" fact="0.5"/>
      <dgm:constr type="r" for="ch" forName="rightArrowText" refType="w" refFor="ch" refForName="ribbon" fact="0.89"/>
    </dgm:constrLst>
    <dgm:ruleLst/>
    <dgm:choose name="Name0">
      <dgm:if name="Name1" axis="ch" ptType="node" func="cnt" op="gte" val="1">
        <dgm:layoutNode name="ribbon" styleLbl="node1">
          <dgm:alg type="sp"/>
          <dgm:shape xmlns:r="http://schemas.openxmlformats.org/officeDocument/2006/relationships" type="leftRightRibbon" r:blip="">
            <dgm:adjLst/>
          </dgm:shape>
          <dgm:presOf/>
          <dgm:constrLst/>
          <dgm:ruleLst/>
        </dgm:layoutNode>
        <dgm:layoutNode name="leftArrowText" styleLbl="node1">
          <dgm:varLst>
            <dgm:chMax val="0"/>
            <dgm:bulletEnabled val="1"/>
          </dgm:varLst>
          <dgm:alg type="tx">
            <dgm:param type="txAnchorVertCh" val="mid"/>
          </dgm:alg>
          <dgm:shape xmlns:r="http://schemas.openxmlformats.org/officeDocument/2006/relationships" type="rect" r:blip="" hideGeom="1">
            <dgm:adjLst/>
          </dgm:shape>
          <dgm:choose name="Name2">
            <dgm:if name="Name3" func="var" arg="dir" op="equ" val="norm">
              <dgm:presOf axis="ch desOrSelf" ptType="node node" st="1 1" cnt="1 0"/>
            </dgm:if>
            <dgm:else name="Name4">
              <dgm:presOf axis="ch desOrSelf" ptType="node node" st="2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layoutNode name="rightArrowText" styleLbl="node1">
          <dgm:varLst>
            <dgm:chMax val="0"/>
            <dgm:bulletEnabled val="1"/>
          </dgm:varLst>
          <dgm:alg type="tx">
            <dgm:param type="txAnchorVertCh" val="mid"/>
          </dgm:alg>
          <dgm:shape xmlns:r="http://schemas.openxmlformats.org/officeDocument/2006/relationships" type="rect" r:blip="" hideGeom="1">
            <dgm:adjLst/>
          </dgm:shape>
          <dgm:choose name="Name5">
            <dgm:if name="Name6" func="var" arg="dir" op="equ" val="norm">
              <dgm:presOf axis="ch desOrSelf" ptType="node node" st="2 1" cnt="1 0"/>
            </dgm:if>
            <dgm:else name="Name7">
              <dgm:presOf axis="ch desOrSelf" ptType="node node" st="1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if>
      <dgm:else name="Name8"/>
    </dgm:choose>
  </dgm:layoutNode>
</dgm:layoutDef>
</file>

<file path=xl/diagrams/layout5.xml><?xml version="1.0" encoding="utf-8"?>
<dgm:layoutDef xmlns:dgm="http://schemas.openxmlformats.org/drawingml/2006/diagram" xmlns:a="http://schemas.openxmlformats.org/drawingml/2006/main" uniqueId="urn:microsoft.com/office/officeart/2005/8/layout/arrow6">
  <dgm:title val=""/>
  <dgm:desc val=""/>
  <dgm:catLst>
    <dgm:cat type="relationship" pri="4000"/>
    <dgm:cat type="process" pri="29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ctr"/>
      <dgm:param type="vertAlign" val="mid"/>
      <dgm:param type="ar" val="2.5"/>
    </dgm:alg>
    <dgm:shape xmlns:r="http://schemas.openxmlformats.org/officeDocument/2006/relationships" r:blip="">
      <dgm:adjLst/>
    </dgm:shape>
    <dgm:presOf/>
    <dgm:constrLst>
      <dgm:constr type="primFontSz" for="des" ptType="node" op="equ"/>
      <dgm:constr type="w" for="ch" forName="ribbon" refType="h" refFor="ch" refForName="ribbon" fact="2.5"/>
      <dgm:constr type="h" for="ch" forName="leftArrowText" refType="h" fact="0.49"/>
      <dgm:constr type="ctrY" for="ch" forName="leftArrowText" refType="ctrY" refFor="ch" refForName="ribbon"/>
      <dgm:constr type="ctrYOff" for="ch" forName="leftArrowText" refType="h" refFor="ch" refForName="ribbon" fact="-0.08"/>
      <dgm:constr type="l" for="ch" forName="leftArrowText" refType="w" refFor="ch" refForName="ribbon" fact="0.12"/>
      <dgm:constr type="r" for="ch" forName="leftArrowText" refType="w" refFor="ch" refForName="ribbon" fact="0.45"/>
      <dgm:constr type="h" for="ch" forName="rightArrowText" refType="h" fact="0.49"/>
      <dgm:constr type="ctrY" for="ch" forName="rightArrowText" refType="ctrY" refFor="ch" refForName="ribbon"/>
      <dgm:constr type="ctrYOff" for="ch" forName="rightArrowText" refType="h" refFor="ch" refForName="ribbon" fact="0.08"/>
      <dgm:constr type="l" for="ch" forName="rightArrowText" refType="w" refFor="ch" refForName="ribbon" fact="0.5"/>
      <dgm:constr type="r" for="ch" forName="rightArrowText" refType="w" refFor="ch" refForName="ribbon" fact="0.89"/>
    </dgm:constrLst>
    <dgm:ruleLst/>
    <dgm:choose name="Name0">
      <dgm:if name="Name1" axis="ch" ptType="node" func="cnt" op="gte" val="1">
        <dgm:layoutNode name="ribbon" styleLbl="node1">
          <dgm:alg type="sp"/>
          <dgm:shape xmlns:r="http://schemas.openxmlformats.org/officeDocument/2006/relationships" type="leftRightRibbon" r:blip="">
            <dgm:adjLst/>
          </dgm:shape>
          <dgm:presOf/>
          <dgm:constrLst/>
          <dgm:ruleLst/>
        </dgm:layoutNode>
        <dgm:layoutNode name="leftArrowText" styleLbl="node1">
          <dgm:varLst>
            <dgm:chMax val="0"/>
            <dgm:bulletEnabled val="1"/>
          </dgm:varLst>
          <dgm:alg type="tx">
            <dgm:param type="txAnchorVertCh" val="mid"/>
          </dgm:alg>
          <dgm:shape xmlns:r="http://schemas.openxmlformats.org/officeDocument/2006/relationships" type="rect" r:blip="" hideGeom="1">
            <dgm:adjLst/>
          </dgm:shape>
          <dgm:choose name="Name2">
            <dgm:if name="Name3" func="var" arg="dir" op="equ" val="norm">
              <dgm:presOf axis="ch desOrSelf" ptType="node node" st="1 1" cnt="1 0"/>
            </dgm:if>
            <dgm:else name="Name4">
              <dgm:presOf axis="ch desOrSelf" ptType="node node" st="2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layoutNode name="rightArrowText" styleLbl="node1">
          <dgm:varLst>
            <dgm:chMax val="0"/>
            <dgm:bulletEnabled val="1"/>
          </dgm:varLst>
          <dgm:alg type="tx">
            <dgm:param type="txAnchorVertCh" val="mid"/>
          </dgm:alg>
          <dgm:shape xmlns:r="http://schemas.openxmlformats.org/officeDocument/2006/relationships" type="rect" r:blip="" hideGeom="1">
            <dgm:adjLst/>
          </dgm:shape>
          <dgm:choose name="Name5">
            <dgm:if name="Name6" func="var" arg="dir" op="equ" val="norm">
              <dgm:presOf axis="ch desOrSelf" ptType="node node" st="2 1" cnt="1 0"/>
            </dgm:if>
            <dgm:else name="Name7">
              <dgm:presOf axis="ch desOrSelf" ptType="node node" st="1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if>
      <dgm:else name="Name8"/>
    </dgm:choose>
  </dgm:layoutNode>
</dgm:layoutDef>
</file>

<file path=xl/diagrams/layout6.xml><?xml version="1.0" encoding="utf-8"?>
<dgm:layoutDef xmlns:dgm="http://schemas.openxmlformats.org/drawingml/2006/diagram" xmlns:a="http://schemas.openxmlformats.org/drawingml/2006/main" uniqueId="urn:microsoft.com/office/officeart/2005/8/layout/arrow6">
  <dgm:title val=""/>
  <dgm:desc val=""/>
  <dgm:catLst>
    <dgm:cat type="relationship" pri="4000"/>
    <dgm:cat type="process" pri="29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ctr"/>
      <dgm:param type="vertAlign" val="mid"/>
      <dgm:param type="ar" val="2.5"/>
    </dgm:alg>
    <dgm:shape xmlns:r="http://schemas.openxmlformats.org/officeDocument/2006/relationships" r:blip="">
      <dgm:adjLst/>
    </dgm:shape>
    <dgm:presOf/>
    <dgm:constrLst>
      <dgm:constr type="primFontSz" for="des" ptType="node" op="equ"/>
      <dgm:constr type="w" for="ch" forName="ribbon" refType="h" refFor="ch" refForName="ribbon" fact="2.5"/>
      <dgm:constr type="h" for="ch" forName="leftArrowText" refType="h" fact="0.49"/>
      <dgm:constr type="ctrY" for="ch" forName="leftArrowText" refType="ctrY" refFor="ch" refForName="ribbon"/>
      <dgm:constr type="ctrYOff" for="ch" forName="leftArrowText" refType="h" refFor="ch" refForName="ribbon" fact="-0.08"/>
      <dgm:constr type="l" for="ch" forName="leftArrowText" refType="w" refFor="ch" refForName="ribbon" fact="0.12"/>
      <dgm:constr type="r" for="ch" forName="leftArrowText" refType="w" refFor="ch" refForName="ribbon" fact="0.45"/>
      <dgm:constr type="h" for="ch" forName="rightArrowText" refType="h" fact="0.49"/>
      <dgm:constr type="ctrY" for="ch" forName="rightArrowText" refType="ctrY" refFor="ch" refForName="ribbon"/>
      <dgm:constr type="ctrYOff" for="ch" forName="rightArrowText" refType="h" refFor="ch" refForName="ribbon" fact="0.08"/>
      <dgm:constr type="l" for="ch" forName="rightArrowText" refType="w" refFor="ch" refForName="ribbon" fact="0.5"/>
      <dgm:constr type="r" for="ch" forName="rightArrowText" refType="w" refFor="ch" refForName="ribbon" fact="0.89"/>
    </dgm:constrLst>
    <dgm:ruleLst/>
    <dgm:choose name="Name0">
      <dgm:if name="Name1" axis="ch" ptType="node" func="cnt" op="gte" val="1">
        <dgm:layoutNode name="ribbon" styleLbl="node1">
          <dgm:alg type="sp"/>
          <dgm:shape xmlns:r="http://schemas.openxmlformats.org/officeDocument/2006/relationships" type="leftRightRibbon" r:blip="">
            <dgm:adjLst/>
          </dgm:shape>
          <dgm:presOf/>
          <dgm:constrLst/>
          <dgm:ruleLst/>
        </dgm:layoutNode>
        <dgm:layoutNode name="leftArrowText" styleLbl="node1">
          <dgm:varLst>
            <dgm:chMax val="0"/>
            <dgm:bulletEnabled val="1"/>
          </dgm:varLst>
          <dgm:alg type="tx">
            <dgm:param type="txAnchorVertCh" val="mid"/>
          </dgm:alg>
          <dgm:shape xmlns:r="http://schemas.openxmlformats.org/officeDocument/2006/relationships" type="rect" r:blip="" hideGeom="1">
            <dgm:adjLst/>
          </dgm:shape>
          <dgm:choose name="Name2">
            <dgm:if name="Name3" func="var" arg="dir" op="equ" val="norm">
              <dgm:presOf axis="ch desOrSelf" ptType="node node" st="1 1" cnt="1 0"/>
            </dgm:if>
            <dgm:else name="Name4">
              <dgm:presOf axis="ch desOrSelf" ptType="node node" st="2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layoutNode name="rightArrowText" styleLbl="node1">
          <dgm:varLst>
            <dgm:chMax val="0"/>
            <dgm:bulletEnabled val="1"/>
          </dgm:varLst>
          <dgm:alg type="tx">
            <dgm:param type="txAnchorVertCh" val="mid"/>
          </dgm:alg>
          <dgm:shape xmlns:r="http://schemas.openxmlformats.org/officeDocument/2006/relationships" type="rect" r:blip="" hideGeom="1">
            <dgm:adjLst/>
          </dgm:shape>
          <dgm:choose name="Name5">
            <dgm:if name="Name6" func="var" arg="dir" op="equ" val="norm">
              <dgm:presOf axis="ch desOrSelf" ptType="node node" st="2 1" cnt="1 0"/>
            </dgm:if>
            <dgm:else name="Name7">
              <dgm:presOf axis="ch desOrSelf" ptType="node node" st="1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if>
      <dgm:else name="Name8"/>
    </dgm:choose>
  </dgm:layoutNode>
</dgm:layoutDef>
</file>

<file path=xl/diagrams/layout7.xml><?xml version="1.0" encoding="utf-8"?>
<dgm:layoutDef xmlns:dgm="http://schemas.openxmlformats.org/drawingml/2006/diagram" xmlns:a="http://schemas.openxmlformats.org/drawingml/2006/main" uniqueId="urn:microsoft.com/office/officeart/2005/8/layout/arrow6">
  <dgm:title val=""/>
  <dgm:desc val=""/>
  <dgm:catLst>
    <dgm:cat type="relationship" pri="4000"/>
    <dgm:cat type="process" pri="29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ctr"/>
      <dgm:param type="vertAlign" val="mid"/>
      <dgm:param type="ar" val="2.5"/>
    </dgm:alg>
    <dgm:shape xmlns:r="http://schemas.openxmlformats.org/officeDocument/2006/relationships" r:blip="">
      <dgm:adjLst/>
    </dgm:shape>
    <dgm:presOf/>
    <dgm:constrLst>
      <dgm:constr type="primFontSz" for="des" ptType="node" op="equ"/>
      <dgm:constr type="w" for="ch" forName="ribbon" refType="h" refFor="ch" refForName="ribbon" fact="2.5"/>
      <dgm:constr type="h" for="ch" forName="leftArrowText" refType="h" fact="0.49"/>
      <dgm:constr type="ctrY" for="ch" forName="leftArrowText" refType="ctrY" refFor="ch" refForName="ribbon"/>
      <dgm:constr type="ctrYOff" for="ch" forName="leftArrowText" refType="h" refFor="ch" refForName="ribbon" fact="-0.08"/>
      <dgm:constr type="l" for="ch" forName="leftArrowText" refType="w" refFor="ch" refForName="ribbon" fact="0.12"/>
      <dgm:constr type="r" for="ch" forName="leftArrowText" refType="w" refFor="ch" refForName="ribbon" fact="0.45"/>
      <dgm:constr type="h" for="ch" forName="rightArrowText" refType="h" fact="0.49"/>
      <dgm:constr type="ctrY" for="ch" forName="rightArrowText" refType="ctrY" refFor="ch" refForName="ribbon"/>
      <dgm:constr type="ctrYOff" for="ch" forName="rightArrowText" refType="h" refFor="ch" refForName="ribbon" fact="0.08"/>
      <dgm:constr type="l" for="ch" forName="rightArrowText" refType="w" refFor="ch" refForName="ribbon" fact="0.5"/>
      <dgm:constr type="r" for="ch" forName="rightArrowText" refType="w" refFor="ch" refForName="ribbon" fact="0.89"/>
    </dgm:constrLst>
    <dgm:ruleLst/>
    <dgm:choose name="Name0">
      <dgm:if name="Name1" axis="ch" ptType="node" func="cnt" op="gte" val="1">
        <dgm:layoutNode name="ribbon" styleLbl="node1">
          <dgm:alg type="sp"/>
          <dgm:shape xmlns:r="http://schemas.openxmlformats.org/officeDocument/2006/relationships" type="leftRightRibbon" r:blip="">
            <dgm:adjLst/>
          </dgm:shape>
          <dgm:presOf/>
          <dgm:constrLst/>
          <dgm:ruleLst/>
        </dgm:layoutNode>
        <dgm:layoutNode name="leftArrowText" styleLbl="node1">
          <dgm:varLst>
            <dgm:chMax val="0"/>
            <dgm:bulletEnabled val="1"/>
          </dgm:varLst>
          <dgm:alg type="tx">
            <dgm:param type="txAnchorVertCh" val="mid"/>
          </dgm:alg>
          <dgm:shape xmlns:r="http://schemas.openxmlformats.org/officeDocument/2006/relationships" type="rect" r:blip="" hideGeom="1">
            <dgm:adjLst/>
          </dgm:shape>
          <dgm:choose name="Name2">
            <dgm:if name="Name3" func="var" arg="dir" op="equ" val="norm">
              <dgm:presOf axis="ch desOrSelf" ptType="node node" st="1 1" cnt="1 0"/>
            </dgm:if>
            <dgm:else name="Name4">
              <dgm:presOf axis="ch desOrSelf" ptType="node node" st="2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layoutNode name="rightArrowText" styleLbl="node1">
          <dgm:varLst>
            <dgm:chMax val="0"/>
            <dgm:bulletEnabled val="1"/>
          </dgm:varLst>
          <dgm:alg type="tx">
            <dgm:param type="txAnchorVertCh" val="mid"/>
          </dgm:alg>
          <dgm:shape xmlns:r="http://schemas.openxmlformats.org/officeDocument/2006/relationships" type="rect" r:blip="" hideGeom="1">
            <dgm:adjLst/>
          </dgm:shape>
          <dgm:choose name="Name5">
            <dgm:if name="Name6" func="var" arg="dir" op="equ" val="norm">
              <dgm:presOf axis="ch desOrSelf" ptType="node node" st="2 1" cnt="1 0"/>
            </dgm:if>
            <dgm:else name="Name7">
              <dgm:presOf axis="ch desOrSelf" ptType="node node" st="1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if>
      <dgm:else name="Name8"/>
    </dgm:choose>
  </dgm:layoutNode>
</dgm:layoutDef>
</file>

<file path=xl/diagrams/layout8.xml><?xml version="1.0" encoding="utf-8"?>
<dgm:layoutDef xmlns:dgm="http://schemas.openxmlformats.org/drawingml/2006/diagram" xmlns:a="http://schemas.openxmlformats.org/drawingml/2006/main" uniqueId="urn:microsoft.com/office/officeart/2005/8/layout/arrow6">
  <dgm:title val=""/>
  <dgm:desc val=""/>
  <dgm:catLst>
    <dgm:cat type="relationship" pri="4000"/>
    <dgm:cat type="process" pri="29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ctr"/>
      <dgm:param type="vertAlign" val="mid"/>
      <dgm:param type="ar" val="2.5"/>
    </dgm:alg>
    <dgm:shape xmlns:r="http://schemas.openxmlformats.org/officeDocument/2006/relationships" r:blip="">
      <dgm:adjLst/>
    </dgm:shape>
    <dgm:presOf/>
    <dgm:constrLst>
      <dgm:constr type="primFontSz" for="des" ptType="node" op="equ"/>
      <dgm:constr type="w" for="ch" forName="ribbon" refType="h" refFor="ch" refForName="ribbon" fact="2.5"/>
      <dgm:constr type="h" for="ch" forName="leftArrowText" refType="h" fact="0.49"/>
      <dgm:constr type="ctrY" for="ch" forName="leftArrowText" refType="ctrY" refFor="ch" refForName="ribbon"/>
      <dgm:constr type="ctrYOff" for="ch" forName="leftArrowText" refType="h" refFor="ch" refForName="ribbon" fact="-0.08"/>
      <dgm:constr type="l" for="ch" forName="leftArrowText" refType="w" refFor="ch" refForName="ribbon" fact="0.12"/>
      <dgm:constr type="r" for="ch" forName="leftArrowText" refType="w" refFor="ch" refForName="ribbon" fact="0.45"/>
      <dgm:constr type="h" for="ch" forName="rightArrowText" refType="h" fact="0.49"/>
      <dgm:constr type="ctrY" for="ch" forName="rightArrowText" refType="ctrY" refFor="ch" refForName="ribbon"/>
      <dgm:constr type="ctrYOff" for="ch" forName="rightArrowText" refType="h" refFor="ch" refForName="ribbon" fact="0.08"/>
      <dgm:constr type="l" for="ch" forName="rightArrowText" refType="w" refFor="ch" refForName="ribbon" fact="0.5"/>
      <dgm:constr type="r" for="ch" forName="rightArrowText" refType="w" refFor="ch" refForName="ribbon" fact="0.89"/>
    </dgm:constrLst>
    <dgm:ruleLst/>
    <dgm:choose name="Name0">
      <dgm:if name="Name1" axis="ch" ptType="node" func="cnt" op="gte" val="1">
        <dgm:layoutNode name="ribbon" styleLbl="node1">
          <dgm:alg type="sp"/>
          <dgm:shape xmlns:r="http://schemas.openxmlformats.org/officeDocument/2006/relationships" type="leftRightRibbon" r:blip="">
            <dgm:adjLst/>
          </dgm:shape>
          <dgm:presOf/>
          <dgm:constrLst/>
          <dgm:ruleLst/>
        </dgm:layoutNode>
        <dgm:layoutNode name="leftArrowText" styleLbl="node1">
          <dgm:varLst>
            <dgm:chMax val="0"/>
            <dgm:bulletEnabled val="1"/>
          </dgm:varLst>
          <dgm:alg type="tx">
            <dgm:param type="txAnchorVertCh" val="mid"/>
          </dgm:alg>
          <dgm:shape xmlns:r="http://schemas.openxmlformats.org/officeDocument/2006/relationships" type="rect" r:blip="" hideGeom="1">
            <dgm:adjLst/>
          </dgm:shape>
          <dgm:choose name="Name2">
            <dgm:if name="Name3" func="var" arg="dir" op="equ" val="norm">
              <dgm:presOf axis="ch desOrSelf" ptType="node node" st="1 1" cnt="1 0"/>
            </dgm:if>
            <dgm:else name="Name4">
              <dgm:presOf axis="ch desOrSelf" ptType="node node" st="2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layoutNode name="rightArrowText" styleLbl="node1">
          <dgm:varLst>
            <dgm:chMax val="0"/>
            <dgm:bulletEnabled val="1"/>
          </dgm:varLst>
          <dgm:alg type="tx">
            <dgm:param type="txAnchorVertCh" val="mid"/>
          </dgm:alg>
          <dgm:shape xmlns:r="http://schemas.openxmlformats.org/officeDocument/2006/relationships" type="rect" r:blip="" hideGeom="1">
            <dgm:adjLst/>
          </dgm:shape>
          <dgm:choose name="Name5">
            <dgm:if name="Name6" func="var" arg="dir" op="equ" val="norm">
              <dgm:presOf axis="ch desOrSelf" ptType="node node" st="2 1" cnt="1 0"/>
            </dgm:if>
            <dgm:else name="Name7">
              <dgm:presOf axis="ch desOrSelf" ptType="node node" st="1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if>
      <dgm:else name="Name8"/>
    </dgm:choose>
  </dgm:layoutNode>
</dgm:layoutDef>
</file>

<file path=xl/diagrams/layout9.xml><?xml version="1.0" encoding="utf-8"?>
<dgm:layoutDef xmlns:dgm="http://schemas.openxmlformats.org/drawingml/2006/diagram" xmlns:a="http://schemas.openxmlformats.org/drawingml/2006/main" uniqueId="urn:microsoft.com/office/officeart/2005/8/layout/arrow6">
  <dgm:title val=""/>
  <dgm:desc val=""/>
  <dgm:catLst>
    <dgm:cat type="relationship" pri="4000"/>
    <dgm:cat type="process" pri="29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ctr"/>
      <dgm:param type="vertAlign" val="mid"/>
      <dgm:param type="ar" val="2.5"/>
    </dgm:alg>
    <dgm:shape xmlns:r="http://schemas.openxmlformats.org/officeDocument/2006/relationships" r:blip="">
      <dgm:adjLst/>
    </dgm:shape>
    <dgm:presOf/>
    <dgm:constrLst>
      <dgm:constr type="primFontSz" for="des" ptType="node" op="equ"/>
      <dgm:constr type="w" for="ch" forName="ribbon" refType="h" refFor="ch" refForName="ribbon" fact="2.5"/>
      <dgm:constr type="h" for="ch" forName="leftArrowText" refType="h" fact="0.49"/>
      <dgm:constr type="ctrY" for="ch" forName="leftArrowText" refType="ctrY" refFor="ch" refForName="ribbon"/>
      <dgm:constr type="ctrYOff" for="ch" forName="leftArrowText" refType="h" refFor="ch" refForName="ribbon" fact="-0.08"/>
      <dgm:constr type="l" for="ch" forName="leftArrowText" refType="w" refFor="ch" refForName="ribbon" fact="0.12"/>
      <dgm:constr type="r" for="ch" forName="leftArrowText" refType="w" refFor="ch" refForName="ribbon" fact="0.45"/>
      <dgm:constr type="h" for="ch" forName="rightArrowText" refType="h" fact="0.49"/>
      <dgm:constr type="ctrY" for="ch" forName="rightArrowText" refType="ctrY" refFor="ch" refForName="ribbon"/>
      <dgm:constr type="ctrYOff" for="ch" forName="rightArrowText" refType="h" refFor="ch" refForName="ribbon" fact="0.08"/>
      <dgm:constr type="l" for="ch" forName="rightArrowText" refType="w" refFor="ch" refForName="ribbon" fact="0.5"/>
      <dgm:constr type="r" for="ch" forName="rightArrowText" refType="w" refFor="ch" refForName="ribbon" fact="0.89"/>
    </dgm:constrLst>
    <dgm:ruleLst/>
    <dgm:choose name="Name0">
      <dgm:if name="Name1" axis="ch" ptType="node" func="cnt" op="gte" val="1">
        <dgm:layoutNode name="ribbon" styleLbl="node1">
          <dgm:alg type="sp"/>
          <dgm:shape xmlns:r="http://schemas.openxmlformats.org/officeDocument/2006/relationships" type="leftRightRibbon" r:blip="">
            <dgm:adjLst/>
          </dgm:shape>
          <dgm:presOf/>
          <dgm:constrLst/>
          <dgm:ruleLst/>
        </dgm:layoutNode>
        <dgm:layoutNode name="leftArrowText" styleLbl="node1">
          <dgm:varLst>
            <dgm:chMax val="0"/>
            <dgm:bulletEnabled val="1"/>
          </dgm:varLst>
          <dgm:alg type="tx">
            <dgm:param type="txAnchorVertCh" val="mid"/>
          </dgm:alg>
          <dgm:shape xmlns:r="http://schemas.openxmlformats.org/officeDocument/2006/relationships" type="rect" r:blip="" hideGeom="1">
            <dgm:adjLst/>
          </dgm:shape>
          <dgm:choose name="Name2">
            <dgm:if name="Name3" func="var" arg="dir" op="equ" val="norm">
              <dgm:presOf axis="ch desOrSelf" ptType="node node" st="1 1" cnt="1 0"/>
            </dgm:if>
            <dgm:else name="Name4">
              <dgm:presOf axis="ch desOrSelf" ptType="node node" st="2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layoutNode name="rightArrowText" styleLbl="node1">
          <dgm:varLst>
            <dgm:chMax val="0"/>
            <dgm:bulletEnabled val="1"/>
          </dgm:varLst>
          <dgm:alg type="tx">
            <dgm:param type="txAnchorVertCh" val="mid"/>
          </dgm:alg>
          <dgm:shape xmlns:r="http://schemas.openxmlformats.org/officeDocument/2006/relationships" type="rect" r:blip="" hideGeom="1">
            <dgm:adjLst/>
          </dgm:shape>
          <dgm:choose name="Name5">
            <dgm:if name="Name6" func="var" arg="dir" op="equ" val="norm">
              <dgm:presOf axis="ch desOrSelf" ptType="node node" st="2 1" cnt="1 0"/>
            </dgm:if>
            <dgm:else name="Name7">
              <dgm:presOf axis="ch desOrSelf" ptType="node node" st="1 1" cnt="1 0"/>
            </dgm:else>
          </dgm:choose>
          <dgm:constrLst>
            <dgm:constr type="primFontSz" val="65"/>
            <dgm:constr type="tMarg" refType="primFontSz" fact="0.28"/>
            <dgm:constr type="lMarg"/>
            <dgm:constr type="bMarg" refType="primFontSz" fact="0.3"/>
            <dgm:constr type="rMarg"/>
          </dgm:constrLst>
          <dgm:ruleLst>
            <dgm:rule type="primFontSz" val="5" fact="NaN" max="NaN"/>
          </dgm:ruleLst>
        </dgm:layoutNode>
      </dgm:if>
      <dgm:else name="Name8"/>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8'!A1"/><Relationship Id="rId1" Type="http://schemas.openxmlformats.org/officeDocument/2006/relationships/hyperlink" Target="#'ORDER from'!A1"/><Relationship Id="rId4" Type="http://schemas.openxmlformats.org/officeDocument/2006/relationships/hyperlink" Target="#'10'!A1"/></Relationships>
</file>

<file path=xl/drawings/_rels/drawing10.xml.rels><?xml version="1.0" encoding="UTF-8" standalone="yes"?>
<Relationships xmlns="http://schemas.openxmlformats.org/package/2006/relationships"><Relationship Id="rId3" Type="http://schemas.openxmlformats.org/officeDocument/2006/relationships/diagramLayout" Target="../diagrams/layout9.xml"/><Relationship Id="rId2" Type="http://schemas.openxmlformats.org/officeDocument/2006/relationships/diagramData" Target="../diagrams/data9.xml"/><Relationship Id="rId1" Type="http://schemas.openxmlformats.org/officeDocument/2006/relationships/hyperlink" Target="#HOME!A1"/><Relationship Id="rId6" Type="http://schemas.microsoft.com/office/2007/relationships/diagramDrawing" Target="../diagrams/drawing9.xml"/><Relationship Id="rId5" Type="http://schemas.openxmlformats.org/officeDocument/2006/relationships/diagramColors" Target="../diagrams/colors9.xml"/><Relationship Id="rId4" Type="http://schemas.openxmlformats.org/officeDocument/2006/relationships/diagramQuickStyle" Target="../diagrams/quickStyle9.xml"/></Relationships>
</file>

<file path=xl/drawings/_rels/drawing11.xml.rels><?xml version="1.0" encoding="UTF-8" standalone="yes"?>
<Relationships xmlns="http://schemas.openxmlformats.org/package/2006/relationships"><Relationship Id="rId3" Type="http://schemas.openxmlformats.org/officeDocument/2006/relationships/diagramData" Target="../diagrams/data10.xml"/><Relationship Id="rId7" Type="http://schemas.microsoft.com/office/2007/relationships/diagramDrawing" Target="../diagrams/drawing10.xml"/><Relationship Id="rId2" Type="http://schemas.openxmlformats.org/officeDocument/2006/relationships/image" Target="../media/image2.jpeg"/><Relationship Id="rId1" Type="http://schemas.openxmlformats.org/officeDocument/2006/relationships/hyperlink" Target="#HOME!A1"/><Relationship Id="rId6" Type="http://schemas.openxmlformats.org/officeDocument/2006/relationships/diagramColors" Target="../diagrams/colors10.xml"/><Relationship Id="rId5" Type="http://schemas.openxmlformats.org/officeDocument/2006/relationships/diagramQuickStyle" Target="../diagrams/quickStyle10.xml"/><Relationship Id="rId4" Type="http://schemas.openxmlformats.org/officeDocument/2006/relationships/diagramLayout" Target="../diagrams/layout10.xml"/></Relationships>
</file>

<file path=xl/drawings/_rels/drawing12.xml.rels><?xml version="1.0" encoding="UTF-8" standalone="yes"?>
<Relationships xmlns="http://schemas.openxmlformats.org/package/2006/relationships"><Relationship Id="rId3" Type="http://schemas.openxmlformats.org/officeDocument/2006/relationships/diagramLayout" Target="../diagrams/layout11.xml"/><Relationship Id="rId2" Type="http://schemas.openxmlformats.org/officeDocument/2006/relationships/diagramData" Target="../diagrams/data11.xml"/><Relationship Id="rId1" Type="http://schemas.openxmlformats.org/officeDocument/2006/relationships/hyperlink" Target="#HOME!A1"/><Relationship Id="rId6" Type="http://schemas.microsoft.com/office/2007/relationships/diagramDrawing" Target="../diagrams/drawing11.xml"/><Relationship Id="rId5" Type="http://schemas.openxmlformats.org/officeDocument/2006/relationships/diagramColors" Target="../diagrams/colors11.xml"/><Relationship Id="rId4" Type="http://schemas.openxmlformats.org/officeDocument/2006/relationships/diagramQuickStyle" Target="../diagrams/quickStyle11.xml"/></Relationships>
</file>

<file path=xl/drawings/_rels/drawing2.xml.rels><?xml version="1.0" encoding="UTF-8" standalone="yes"?>
<Relationships xmlns="http://schemas.openxmlformats.org/package/2006/relationships"><Relationship Id="rId8" Type="http://schemas.openxmlformats.org/officeDocument/2006/relationships/diagramData" Target="../diagrams/data1.xml"/><Relationship Id="rId13" Type="http://schemas.openxmlformats.org/officeDocument/2006/relationships/hyperlink" Target="#'7'!A1"/><Relationship Id="rId3" Type="http://schemas.openxmlformats.org/officeDocument/2006/relationships/hyperlink" Target="#'3'!A1"/><Relationship Id="rId7" Type="http://schemas.openxmlformats.org/officeDocument/2006/relationships/hyperlink" Target="#'ORDER from'!A1"/><Relationship Id="rId12" Type="http://schemas.microsoft.com/office/2007/relationships/diagramDrawing" Target="../diagrams/drawing1.xml"/><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diagramColors" Target="../diagrams/colors1.xml"/><Relationship Id="rId5" Type="http://schemas.openxmlformats.org/officeDocument/2006/relationships/hyperlink" Target="#'5'!A1"/><Relationship Id="rId15" Type="http://schemas.openxmlformats.org/officeDocument/2006/relationships/hyperlink" Target="#HOME!A1"/><Relationship Id="rId10" Type="http://schemas.openxmlformats.org/officeDocument/2006/relationships/diagramQuickStyle" Target="../diagrams/quickStyle1.xml"/><Relationship Id="rId4" Type="http://schemas.openxmlformats.org/officeDocument/2006/relationships/hyperlink" Target="#'4'!A1"/><Relationship Id="rId9" Type="http://schemas.openxmlformats.org/officeDocument/2006/relationships/diagramLayout" Target="../diagrams/layout1.xml"/><Relationship Id="rId1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diagramData" Target="../diagrams/data2.xml"/><Relationship Id="rId13" Type="http://schemas.openxmlformats.org/officeDocument/2006/relationships/hyperlink" Target="#'7'!A1"/><Relationship Id="rId3" Type="http://schemas.openxmlformats.org/officeDocument/2006/relationships/hyperlink" Target="#'3'!A1"/><Relationship Id="rId7" Type="http://schemas.openxmlformats.org/officeDocument/2006/relationships/hyperlink" Target="#'ORDER from'!A1"/><Relationship Id="rId12" Type="http://schemas.microsoft.com/office/2007/relationships/diagramDrawing" Target="../diagrams/drawing2.xml"/><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diagramColors" Target="../diagrams/colors2.xml"/><Relationship Id="rId5" Type="http://schemas.openxmlformats.org/officeDocument/2006/relationships/hyperlink" Target="#'5'!A1"/><Relationship Id="rId10" Type="http://schemas.openxmlformats.org/officeDocument/2006/relationships/diagramQuickStyle" Target="../diagrams/quickStyle2.xml"/><Relationship Id="rId4" Type="http://schemas.openxmlformats.org/officeDocument/2006/relationships/hyperlink" Target="#'4'!A1"/><Relationship Id="rId9" Type="http://schemas.openxmlformats.org/officeDocument/2006/relationships/diagramLayout" Target="../diagrams/layout2.xml"/><Relationship Id="rId1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8" Type="http://schemas.openxmlformats.org/officeDocument/2006/relationships/diagramData" Target="../diagrams/data3.xml"/><Relationship Id="rId13" Type="http://schemas.openxmlformats.org/officeDocument/2006/relationships/hyperlink" Target="#'7'!A1"/><Relationship Id="rId3" Type="http://schemas.openxmlformats.org/officeDocument/2006/relationships/hyperlink" Target="#'3'!A1"/><Relationship Id="rId7" Type="http://schemas.openxmlformats.org/officeDocument/2006/relationships/hyperlink" Target="#'ORDER from'!A1"/><Relationship Id="rId12" Type="http://schemas.microsoft.com/office/2007/relationships/diagramDrawing" Target="../diagrams/drawing3.xml"/><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diagramColors" Target="../diagrams/colors3.xml"/><Relationship Id="rId5" Type="http://schemas.openxmlformats.org/officeDocument/2006/relationships/hyperlink" Target="#'5'!A1"/><Relationship Id="rId10" Type="http://schemas.openxmlformats.org/officeDocument/2006/relationships/diagramQuickStyle" Target="../diagrams/quickStyle3.xml"/><Relationship Id="rId4" Type="http://schemas.openxmlformats.org/officeDocument/2006/relationships/hyperlink" Target="#'4'!A1"/><Relationship Id="rId9" Type="http://schemas.openxmlformats.org/officeDocument/2006/relationships/diagramLayout" Target="../diagrams/layout3.xml"/><Relationship Id="rId14"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diagramLayout" Target="../diagrams/layout4.xml"/><Relationship Id="rId13" Type="http://schemas.openxmlformats.org/officeDocument/2006/relationships/image" Target="../media/image2.jpeg"/><Relationship Id="rId3" Type="http://schemas.openxmlformats.org/officeDocument/2006/relationships/hyperlink" Target="#'4'!A1"/><Relationship Id="rId7" Type="http://schemas.openxmlformats.org/officeDocument/2006/relationships/diagramData" Target="../diagrams/data4.xml"/><Relationship Id="rId12" Type="http://schemas.openxmlformats.org/officeDocument/2006/relationships/hyperlink" Target="#'7'!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ORDER from'!A1"/><Relationship Id="rId11" Type="http://schemas.microsoft.com/office/2007/relationships/diagramDrawing" Target="../diagrams/drawing4.xml"/><Relationship Id="rId5" Type="http://schemas.openxmlformats.org/officeDocument/2006/relationships/hyperlink" Target="#'6'!A1"/><Relationship Id="rId10" Type="http://schemas.openxmlformats.org/officeDocument/2006/relationships/diagramColors" Target="../diagrams/colors4.xml"/><Relationship Id="rId4" Type="http://schemas.openxmlformats.org/officeDocument/2006/relationships/hyperlink" Target="#'5'!A1"/><Relationship Id="rId9" Type="http://schemas.openxmlformats.org/officeDocument/2006/relationships/diagramQuickStyle" Target="../diagrams/quickStyle4.xml"/></Relationships>
</file>

<file path=xl/drawings/_rels/drawing6.xml.rels><?xml version="1.0" encoding="UTF-8" standalone="yes"?>
<Relationships xmlns="http://schemas.openxmlformats.org/package/2006/relationships"><Relationship Id="rId8" Type="http://schemas.openxmlformats.org/officeDocument/2006/relationships/diagramData" Target="../diagrams/data5.xml"/><Relationship Id="rId13" Type="http://schemas.openxmlformats.org/officeDocument/2006/relationships/hyperlink" Target="#'7'!A1"/><Relationship Id="rId3" Type="http://schemas.openxmlformats.org/officeDocument/2006/relationships/hyperlink" Target="#'3'!A1"/><Relationship Id="rId7" Type="http://schemas.openxmlformats.org/officeDocument/2006/relationships/hyperlink" Target="#'ORDER from'!A1"/><Relationship Id="rId12" Type="http://schemas.microsoft.com/office/2007/relationships/diagramDrawing" Target="../diagrams/drawing5.xml"/><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diagramColors" Target="../diagrams/colors5.xml"/><Relationship Id="rId5" Type="http://schemas.openxmlformats.org/officeDocument/2006/relationships/hyperlink" Target="#'5'!A1"/><Relationship Id="rId10" Type="http://schemas.openxmlformats.org/officeDocument/2006/relationships/diagramQuickStyle" Target="../diagrams/quickStyle5.xml"/><Relationship Id="rId4" Type="http://schemas.openxmlformats.org/officeDocument/2006/relationships/hyperlink" Target="#'4'!A1"/><Relationship Id="rId9" Type="http://schemas.openxmlformats.org/officeDocument/2006/relationships/diagramLayout" Target="../diagrams/layout5.xml"/><Relationship Id="rId14" Type="http://schemas.openxmlformats.org/officeDocument/2006/relationships/image" Target="../media/image2.jpeg"/></Relationships>
</file>

<file path=xl/drawings/_rels/drawing7.xml.rels><?xml version="1.0" encoding="UTF-8" standalone="yes"?>
<Relationships xmlns="http://schemas.openxmlformats.org/package/2006/relationships"><Relationship Id="rId8" Type="http://schemas.openxmlformats.org/officeDocument/2006/relationships/diagramData" Target="../diagrams/data6.xml"/><Relationship Id="rId13" Type="http://schemas.openxmlformats.org/officeDocument/2006/relationships/hyperlink" Target="#'7'!A1"/><Relationship Id="rId3" Type="http://schemas.openxmlformats.org/officeDocument/2006/relationships/hyperlink" Target="#'3'!A1"/><Relationship Id="rId7" Type="http://schemas.openxmlformats.org/officeDocument/2006/relationships/hyperlink" Target="#'ORDER from'!A1"/><Relationship Id="rId12" Type="http://schemas.microsoft.com/office/2007/relationships/diagramDrawing" Target="../diagrams/drawing6.xml"/><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diagramColors" Target="../diagrams/colors6.xml"/><Relationship Id="rId5" Type="http://schemas.openxmlformats.org/officeDocument/2006/relationships/hyperlink" Target="#'5'!A1"/><Relationship Id="rId10" Type="http://schemas.openxmlformats.org/officeDocument/2006/relationships/diagramQuickStyle" Target="../diagrams/quickStyle6.xml"/><Relationship Id="rId4" Type="http://schemas.openxmlformats.org/officeDocument/2006/relationships/hyperlink" Target="#'4'!A1"/><Relationship Id="rId9" Type="http://schemas.openxmlformats.org/officeDocument/2006/relationships/diagramLayout" Target="../diagrams/layout6.xml"/><Relationship Id="rId14" Type="http://schemas.openxmlformats.org/officeDocument/2006/relationships/image" Target="../media/image2.jpeg"/></Relationships>
</file>

<file path=xl/drawings/_rels/drawing8.xml.rels><?xml version="1.0" encoding="UTF-8" standalone="yes"?>
<Relationships xmlns="http://schemas.openxmlformats.org/package/2006/relationships"><Relationship Id="rId8" Type="http://schemas.openxmlformats.org/officeDocument/2006/relationships/diagramLayout" Target="../diagrams/layout7.xml"/><Relationship Id="rId13" Type="http://schemas.openxmlformats.org/officeDocument/2006/relationships/image" Target="../media/image2.jpeg"/><Relationship Id="rId3" Type="http://schemas.openxmlformats.org/officeDocument/2006/relationships/hyperlink" Target="#'3'!A1"/><Relationship Id="rId7" Type="http://schemas.openxmlformats.org/officeDocument/2006/relationships/diagramData" Target="../diagrams/data7.xml"/><Relationship Id="rId12" Type="http://schemas.openxmlformats.org/officeDocument/2006/relationships/hyperlink" Target="#'7'!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ORDER from'!A1"/><Relationship Id="rId11" Type="http://schemas.microsoft.com/office/2007/relationships/diagramDrawing" Target="../diagrams/drawing7.xml"/><Relationship Id="rId5" Type="http://schemas.openxmlformats.org/officeDocument/2006/relationships/hyperlink" Target="#'5'!A1"/><Relationship Id="rId10" Type="http://schemas.openxmlformats.org/officeDocument/2006/relationships/diagramColors" Target="../diagrams/colors7.xml"/><Relationship Id="rId4" Type="http://schemas.openxmlformats.org/officeDocument/2006/relationships/hyperlink" Target="#'4'!A1"/><Relationship Id="rId9" Type="http://schemas.openxmlformats.org/officeDocument/2006/relationships/diagramQuickStyle" Target="../diagrams/quickStyle7.xml"/></Relationships>
</file>

<file path=xl/drawings/_rels/drawing9.xml.rels><?xml version="1.0" encoding="UTF-8" standalone="yes"?>
<Relationships xmlns="http://schemas.openxmlformats.org/package/2006/relationships"><Relationship Id="rId8" Type="http://schemas.openxmlformats.org/officeDocument/2006/relationships/hyperlink" Target="#'7'!A1"/><Relationship Id="rId13" Type="http://schemas.openxmlformats.org/officeDocument/2006/relationships/diagramColors" Target="../diagrams/colors8.xml"/><Relationship Id="rId3" Type="http://schemas.openxmlformats.org/officeDocument/2006/relationships/hyperlink" Target="#'3'!A1"/><Relationship Id="rId7" Type="http://schemas.openxmlformats.org/officeDocument/2006/relationships/hyperlink" Target="#'ORDER from'!A1"/><Relationship Id="rId12" Type="http://schemas.openxmlformats.org/officeDocument/2006/relationships/diagramQuickStyle" Target="../diagrams/quickStyle8.xml"/><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diagramLayout" Target="../diagrams/layout8.xml"/><Relationship Id="rId5" Type="http://schemas.openxmlformats.org/officeDocument/2006/relationships/hyperlink" Target="#'5'!A1"/><Relationship Id="rId10" Type="http://schemas.openxmlformats.org/officeDocument/2006/relationships/diagramData" Target="../diagrams/data8.xml"/><Relationship Id="rId4" Type="http://schemas.openxmlformats.org/officeDocument/2006/relationships/hyperlink" Target="#'4'!A1"/><Relationship Id="rId9" Type="http://schemas.openxmlformats.org/officeDocument/2006/relationships/image" Target="../media/image2.jpeg"/><Relationship Id="rId14" Type="http://schemas.microsoft.com/office/2007/relationships/diagramDrawing" Target="../diagrams/drawing8.xml"/></Relationships>
</file>

<file path=xl/drawings/drawing1.xml><?xml version="1.0" encoding="utf-8"?>
<xdr:wsDr xmlns:xdr="http://schemas.openxmlformats.org/drawingml/2006/spreadsheetDrawing" xmlns:a="http://schemas.openxmlformats.org/drawingml/2006/main">
  <xdr:twoCellAnchor>
    <xdr:from>
      <xdr:col>7</xdr:col>
      <xdr:colOff>123824</xdr:colOff>
      <xdr:row>10</xdr:row>
      <xdr:rowOff>28576</xdr:rowOff>
    </xdr:from>
    <xdr:to>
      <xdr:col>8</xdr:col>
      <xdr:colOff>514349</xdr:colOff>
      <xdr:row>14</xdr:row>
      <xdr:rowOff>9526</xdr:rowOff>
    </xdr:to>
    <xdr:sp macro="" textlink="">
      <xdr:nvSpPr>
        <xdr:cNvPr id="6" name="Flowchart: Off-page Connector 5">
          <a:hlinkClick xmlns:r="http://schemas.openxmlformats.org/officeDocument/2006/relationships" r:id="rId1"/>
        </xdr:cNvPr>
        <xdr:cNvSpPr/>
      </xdr:nvSpPr>
      <xdr:spPr>
        <a:xfrm>
          <a:off x="4391024" y="2333626"/>
          <a:ext cx="1000125" cy="742950"/>
        </a:xfrm>
        <a:prstGeom prst="flowChartOffpage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r-Latn-RS" sz="1200" b="1"/>
            <a:t>0.</a:t>
          </a:r>
          <a:r>
            <a:rPr lang="en-US" sz="1200" b="1"/>
            <a:t>ORDER FROM</a:t>
          </a:r>
          <a:endParaRPr lang="sr-Latn-CS" sz="1200" b="1"/>
        </a:p>
      </xdr:txBody>
    </xdr:sp>
    <xdr:clientData/>
  </xdr:twoCellAnchor>
  <xdr:twoCellAnchor>
    <xdr:from>
      <xdr:col>11</xdr:col>
      <xdr:colOff>9526</xdr:colOff>
      <xdr:row>12</xdr:row>
      <xdr:rowOff>104775</xdr:rowOff>
    </xdr:from>
    <xdr:to>
      <xdr:col>15</xdr:col>
      <xdr:colOff>314326</xdr:colOff>
      <xdr:row>13</xdr:row>
      <xdr:rowOff>188595</xdr:rowOff>
    </xdr:to>
    <xdr:sp macro="" textlink="">
      <xdr:nvSpPr>
        <xdr:cNvPr id="3" name="Snip Same Side Corner Rectangle 2">
          <a:hlinkClick xmlns:r="http://schemas.openxmlformats.org/officeDocument/2006/relationships" r:id="rId2"/>
        </xdr:cNvPr>
        <xdr:cNvSpPr/>
      </xdr:nvSpPr>
      <xdr:spPr>
        <a:xfrm>
          <a:off x="6962776" y="2876550"/>
          <a:ext cx="2743200" cy="274320"/>
        </a:xfrm>
        <a:prstGeom prst="snip2Same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r-Latn-CS" sz="1200" b="1"/>
            <a:t>8.CONCEPTUAL DESIGN</a:t>
          </a:r>
        </a:p>
      </xdr:txBody>
    </xdr:sp>
    <xdr:clientData/>
  </xdr:twoCellAnchor>
  <xdr:twoCellAnchor>
    <xdr:from>
      <xdr:col>11</xdr:col>
      <xdr:colOff>1</xdr:colOff>
      <xdr:row>15</xdr:row>
      <xdr:rowOff>133349</xdr:rowOff>
    </xdr:from>
    <xdr:to>
      <xdr:col>15</xdr:col>
      <xdr:colOff>304801</xdr:colOff>
      <xdr:row>17</xdr:row>
      <xdr:rowOff>7619</xdr:rowOff>
    </xdr:to>
    <xdr:sp macro="" textlink="">
      <xdr:nvSpPr>
        <xdr:cNvPr id="8" name="Snip Same Side Corner Rectangle 7">
          <a:hlinkClick xmlns:r="http://schemas.openxmlformats.org/officeDocument/2006/relationships" r:id="rId3"/>
        </xdr:cNvPr>
        <xdr:cNvSpPr/>
      </xdr:nvSpPr>
      <xdr:spPr>
        <a:xfrm>
          <a:off x="6953251" y="3476624"/>
          <a:ext cx="2743200" cy="274320"/>
        </a:xfrm>
        <a:prstGeom prst="snip2Same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r-Latn-CS" sz="1200" b="1"/>
            <a:t>9.Stiffness (link diagonal dumpers)</a:t>
          </a:r>
        </a:p>
      </xdr:txBody>
    </xdr:sp>
    <xdr:clientData/>
  </xdr:twoCellAnchor>
  <xdr:twoCellAnchor>
    <xdr:from>
      <xdr:col>10</xdr:col>
      <xdr:colOff>600075</xdr:colOff>
      <xdr:row>18</xdr:row>
      <xdr:rowOff>76200</xdr:rowOff>
    </xdr:from>
    <xdr:to>
      <xdr:col>15</xdr:col>
      <xdr:colOff>295275</xdr:colOff>
      <xdr:row>19</xdr:row>
      <xdr:rowOff>161926</xdr:rowOff>
    </xdr:to>
    <xdr:sp macro="" textlink="">
      <xdr:nvSpPr>
        <xdr:cNvPr id="9" name="Snip Same Side Corner Rectangle 8">
          <a:hlinkClick xmlns:r="http://schemas.openxmlformats.org/officeDocument/2006/relationships" r:id="rId4"/>
        </xdr:cNvPr>
        <xdr:cNvSpPr/>
      </xdr:nvSpPr>
      <xdr:spPr>
        <a:xfrm>
          <a:off x="6943725" y="4019550"/>
          <a:ext cx="2743200" cy="276226"/>
        </a:xfrm>
        <a:prstGeom prst="snip2Same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r-Latn-CS" sz="1200" b="1"/>
            <a:t>10.Walls characteristics and links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247650</xdr:colOff>
      <xdr:row>0</xdr:row>
      <xdr:rowOff>200025</xdr:rowOff>
    </xdr:from>
    <xdr:to>
      <xdr:col>18</xdr:col>
      <xdr:colOff>352425</xdr:colOff>
      <xdr:row>3</xdr:row>
      <xdr:rowOff>0</xdr:rowOff>
    </xdr:to>
    <xdr:sp macro="" textlink="">
      <xdr:nvSpPr>
        <xdr:cNvPr id="2" name="Flowchart: Off-page Connector 1">
          <a:hlinkClick xmlns:r="http://schemas.openxmlformats.org/officeDocument/2006/relationships" r:id="rId1"/>
        </xdr:cNvPr>
        <xdr:cNvSpPr/>
      </xdr:nvSpPr>
      <xdr:spPr>
        <a:xfrm>
          <a:off x="11363325" y="200025"/>
          <a:ext cx="714375" cy="419100"/>
        </a:xfrm>
        <a:prstGeom prst="flowChartOffpage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EXIT</a:t>
          </a:r>
          <a:endParaRPr lang="sr-Latn-CS" sz="1100" b="1"/>
        </a:p>
      </xdr:txBody>
    </xdr:sp>
    <xdr:clientData/>
  </xdr:twoCellAnchor>
  <xdr:twoCellAnchor>
    <xdr:from>
      <xdr:col>13</xdr:col>
      <xdr:colOff>257176</xdr:colOff>
      <xdr:row>1</xdr:row>
      <xdr:rowOff>19050</xdr:rowOff>
    </xdr:from>
    <xdr:to>
      <xdr:col>16</xdr:col>
      <xdr:colOff>390526</xdr:colOff>
      <xdr:row>3</xdr:row>
      <xdr:rowOff>171450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oneCellAnchor>
    <xdr:from>
      <xdr:col>14</xdr:col>
      <xdr:colOff>895350</xdr:colOff>
      <xdr:row>4</xdr:row>
      <xdr:rowOff>76200</xdr:rowOff>
    </xdr:from>
    <xdr:ext cx="1245729" cy="1828800"/>
    <xdr:sp macro="" textlink="">
      <xdr:nvSpPr>
        <xdr:cNvPr id="4" name="Rectangle 3"/>
        <xdr:cNvSpPr/>
      </xdr:nvSpPr>
      <xdr:spPr>
        <a:xfrm>
          <a:off x="9848850" y="895350"/>
          <a:ext cx="1245729" cy="1828800"/>
        </a:xfrm>
        <a:prstGeom prst="rect">
          <a:avLst/>
        </a:prstGeom>
        <a:noFill/>
      </xdr:spPr>
      <xdr:txBody>
        <a:bodyPr wrap="square" lIns="91440" tIns="45720" rIns="91440" bIns="45720">
          <a:noAutofit/>
        </a:bodyPr>
        <a:lstStyle/>
        <a:p>
          <a:pPr algn="ctr"/>
          <a:r>
            <a:rPr lang="en-US" sz="9600" b="0" cap="none" spc="0">
              <a:ln w="18415" cmpd="sng">
                <a:solidFill>
                  <a:srgbClr val="FFFFFF"/>
                </a:solidFill>
                <a:prstDash val="solid"/>
              </a:ln>
              <a:solidFill>
                <a:schemeClr val="tx2"/>
              </a:solidFill>
              <a:effectLst>
                <a:outerShdw blurRad="63500" dir="3600000" algn="tl" rotWithShape="0">
                  <a:srgbClr val="000000">
                    <a:alpha val="70000"/>
                  </a:srgbClr>
                </a:outerShdw>
              </a:effectLst>
              <a:latin typeface="+mn-lt"/>
              <a:ea typeface="Tahoma" pitchFamily="34" charset="0"/>
              <a:cs typeface="Tahoma" pitchFamily="34" charset="0"/>
            </a:rPr>
            <a:t>7</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6</xdr:col>
      <xdr:colOff>266700</xdr:colOff>
      <xdr:row>1</xdr:row>
      <xdr:rowOff>19050</xdr:rowOff>
    </xdr:from>
    <xdr:to>
      <xdr:col>7</xdr:col>
      <xdr:colOff>371475</xdr:colOff>
      <xdr:row>3</xdr:row>
      <xdr:rowOff>47625</xdr:rowOff>
    </xdr:to>
    <xdr:sp macro="" textlink="">
      <xdr:nvSpPr>
        <xdr:cNvPr id="2" name="Flowchart: Off-page Connector 1">
          <a:hlinkClick xmlns:r="http://schemas.openxmlformats.org/officeDocument/2006/relationships" r:id="rId1"/>
        </xdr:cNvPr>
        <xdr:cNvSpPr/>
      </xdr:nvSpPr>
      <xdr:spPr>
        <a:xfrm>
          <a:off x="5734050" y="209550"/>
          <a:ext cx="714375" cy="419100"/>
        </a:xfrm>
        <a:prstGeom prst="flowChartOffpage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EXIT</a:t>
          </a:r>
          <a:endParaRPr lang="sr-Latn-CS" sz="1100" b="1"/>
        </a:p>
      </xdr:txBody>
    </xdr:sp>
    <xdr:clientData/>
  </xdr:twoCellAnchor>
  <xdr:twoCellAnchor editAs="oneCell">
    <xdr:from>
      <xdr:col>7</xdr:col>
      <xdr:colOff>9525</xdr:colOff>
      <xdr:row>6</xdr:row>
      <xdr:rowOff>0</xdr:rowOff>
    </xdr:from>
    <xdr:to>
      <xdr:col>11</xdr:col>
      <xdr:colOff>432954</xdr:colOff>
      <xdr:row>13</xdr:row>
      <xdr:rowOff>176645</xdr:rowOff>
    </xdr:to>
    <xdr:pic>
      <xdr:nvPicPr>
        <xdr:cNvPr id="3" name="Picture 2" descr="C:\Users\Zarko\Downloads\images (1).jpg"/>
        <xdr:cNvPicPr/>
      </xdr:nvPicPr>
      <xdr:blipFill>
        <a:blip xmlns:r="http://schemas.openxmlformats.org/officeDocument/2006/relationships" r:embed="rId2" cstate="print"/>
        <a:srcRect/>
        <a:stretch>
          <a:fillRect/>
        </a:stretch>
      </xdr:blipFill>
      <xdr:spPr bwMode="auto">
        <a:xfrm>
          <a:off x="6086475" y="1200150"/>
          <a:ext cx="2861829" cy="1605395"/>
        </a:xfrm>
        <a:prstGeom prst="rect">
          <a:avLst/>
        </a:prstGeom>
        <a:ln>
          <a:noFill/>
        </a:ln>
        <a:effectLst>
          <a:softEdge rad="112500"/>
        </a:effectLst>
      </xdr:spPr>
    </xdr:pic>
    <xdr:clientData/>
  </xdr:twoCellAnchor>
  <xdr:oneCellAnchor>
    <xdr:from>
      <xdr:col>11</xdr:col>
      <xdr:colOff>314325</xdr:colOff>
      <xdr:row>5</xdr:row>
      <xdr:rowOff>142875</xdr:rowOff>
    </xdr:from>
    <xdr:ext cx="1245729" cy="1828800"/>
    <xdr:sp macro="" textlink="">
      <xdr:nvSpPr>
        <xdr:cNvPr id="4" name="Rectangle 3"/>
        <xdr:cNvSpPr/>
      </xdr:nvSpPr>
      <xdr:spPr>
        <a:xfrm>
          <a:off x="8829675" y="1133475"/>
          <a:ext cx="1245729" cy="1828800"/>
        </a:xfrm>
        <a:prstGeom prst="rect">
          <a:avLst/>
        </a:prstGeom>
        <a:noFill/>
      </xdr:spPr>
      <xdr:txBody>
        <a:bodyPr wrap="square" lIns="91440" tIns="45720" rIns="91440" bIns="45720">
          <a:noAutofit/>
        </a:bodyPr>
        <a:lstStyle/>
        <a:p>
          <a:pPr algn="ctr"/>
          <a:r>
            <a:rPr lang="en-US" sz="9600" b="0" cap="none" spc="0">
              <a:ln w="18415" cmpd="sng">
                <a:solidFill>
                  <a:srgbClr val="FFFFFF"/>
                </a:solidFill>
                <a:prstDash val="solid"/>
              </a:ln>
              <a:solidFill>
                <a:schemeClr val="tx2">
                  <a:lumMod val="75000"/>
                </a:schemeClr>
              </a:solidFill>
              <a:effectLst>
                <a:outerShdw blurRad="63500" dir="3600000" algn="tl" rotWithShape="0">
                  <a:srgbClr val="000000">
                    <a:alpha val="70000"/>
                  </a:srgbClr>
                </a:outerShdw>
              </a:effectLst>
              <a:latin typeface="+mn-lt"/>
              <a:ea typeface="Tahoma" pitchFamily="34" charset="0"/>
              <a:cs typeface="Tahoma" pitchFamily="34" charset="0"/>
            </a:rPr>
            <a:t>9</a:t>
          </a:r>
        </a:p>
      </xdr:txBody>
    </xdr:sp>
    <xdr:clientData/>
  </xdr:oneCellAnchor>
  <xdr:twoCellAnchor>
    <xdr:from>
      <xdr:col>7</xdr:col>
      <xdr:colOff>28575</xdr:colOff>
      <xdr:row>14</xdr:row>
      <xdr:rowOff>95250</xdr:rowOff>
    </xdr:from>
    <xdr:to>
      <xdr:col>11</xdr:col>
      <xdr:colOff>361950</xdr:colOff>
      <xdr:row>17</xdr:row>
      <xdr:rowOff>70485</xdr:rowOff>
    </xdr:to>
    <xdr:graphicFrame macro="">
      <xdr:nvGraphicFramePr>
        <xdr:cNvPr id="8" name="Diagram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409575</xdr:colOff>
      <xdr:row>17</xdr:row>
      <xdr:rowOff>95250</xdr:rowOff>
    </xdr:from>
    <xdr:to>
      <xdr:col>2</xdr:col>
      <xdr:colOff>514350</xdr:colOff>
      <xdr:row>19</xdr:row>
      <xdr:rowOff>133350</xdr:rowOff>
    </xdr:to>
    <xdr:sp macro="" textlink="">
      <xdr:nvSpPr>
        <xdr:cNvPr id="2" name="Flowchart: Off-page Connector 1">
          <a:hlinkClick xmlns:r="http://schemas.openxmlformats.org/officeDocument/2006/relationships" r:id="rId1"/>
        </xdr:cNvPr>
        <xdr:cNvSpPr/>
      </xdr:nvSpPr>
      <xdr:spPr>
        <a:xfrm>
          <a:off x="790575" y="3333750"/>
          <a:ext cx="714375" cy="419100"/>
        </a:xfrm>
        <a:prstGeom prst="flowChartOffpage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EXIT</a:t>
          </a:r>
          <a:endParaRPr lang="sr-Latn-CS" sz="1100" b="1"/>
        </a:p>
      </xdr:txBody>
    </xdr:sp>
    <xdr:clientData/>
  </xdr:twoCellAnchor>
  <xdr:twoCellAnchor>
    <xdr:from>
      <xdr:col>0</xdr:col>
      <xdr:colOff>180975</xdr:colOff>
      <xdr:row>20</xdr:row>
      <xdr:rowOff>28575</xdr:rowOff>
    </xdr:from>
    <xdr:to>
      <xdr:col>4</xdr:col>
      <xdr:colOff>190500</xdr:colOff>
      <xdr:row>22</xdr:row>
      <xdr:rowOff>114301</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12</xdr:row>
      <xdr:rowOff>95249</xdr:rowOff>
    </xdr:from>
    <xdr:to>
      <xdr:col>4</xdr:col>
      <xdr:colOff>102749</xdr:colOff>
      <xdr:row>13</xdr:row>
      <xdr:rowOff>180974</xdr:rowOff>
    </xdr:to>
    <xdr:sp macro="" textlink="">
      <xdr:nvSpPr>
        <xdr:cNvPr id="3" name="Rounded Rectangle 2">
          <a:hlinkClick xmlns:r="http://schemas.openxmlformats.org/officeDocument/2006/relationships" r:id="rId1"/>
        </xdr:cNvPr>
        <xdr:cNvSpPr/>
      </xdr:nvSpPr>
      <xdr:spPr>
        <a:xfrm>
          <a:off x="57149" y="2647949"/>
          <a:ext cx="24840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1. Surface and floor height</a:t>
          </a:r>
        </a:p>
      </xdr:txBody>
    </xdr:sp>
    <xdr:clientData/>
  </xdr:twoCellAnchor>
  <xdr:twoCellAnchor>
    <xdr:from>
      <xdr:col>4</xdr:col>
      <xdr:colOff>495297</xdr:colOff>
      <xdr:row>12</xdr:row>
      <xdr:rowOff>95249</xdr:rowOff>
    </xdr:from>
    <xdr:to>
      <xdr:col>8</xdr:col>
      <xdr:colOff>540897</xdr:colOff>
      <xdr:row>13</xdr:row>
      <xdr:rowOff>180974</xdr:rowOff>
    </xdr:to>
    <xdr:sp macro="" textlink="">
      <xdr:nvSpPr>
        <xdr:cNvPr id="11" name="Rounded Rectangle 10">
          <a:hlinkClick xmlns:r="http://schemas.openxmlformats.org/officeDocument/2006/relationships" r:id="rId2"/>
        </xdr:cNvPr>
        <xdr:cNvSpPr/>
      </xdr:nvSpPr>
      <xdr:spPr>
        <a:xfrm>
          <a:off x="2933697" y="2647949"/>
          <a:ext cx="24840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2. Length and thickness of the walls</a:t>
          </a:r>
        </a:p>
      </xdr:txBody>
    </xdr:sp>
    <xdr:clientData/>
  </xdr:twoCellAnchor>
  <xdr:twoCellAnchor>
    <xdr:from>
      <xdr:col>0</xdr:col>
      <xdr:colOff>133349</xdr:colOff>
      <xdr:row>14</xdr:row>
      <xdr:rowOff>19049</xdr:rowOff>
    </xdr:from>
    <xdr:to>
      <xdr:col>4</xdr:col>
      <xdr:colOff>178949</xdr:colOff>
      <xdr:row>15</xdr:row>
      <xdr:rowOff>104774</xdr:rowOff>
    </xdr:to>
    <xdr:sp macro="" textlink="">
      <xdr:nvSpPr>
        <xdr:cNvPr id="12" name="Rounded Rectangle 11">
          <a:hlinkClick xmlns:r="http://schemas.openxmlformats.org/officeDocument/2006/relationships" r:id="rId3"/>
        </xdr:cNvPr>
        <xdr:cNvSpPr/>
      </xdr:nvSpPr>
      <xdr:spPr>
        <a:xfrm>
          <a:off x="133349" y="2952749"/>
          <a:ext cx="24840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3. The quality of plaster</a:t>
          </a:r>
        </a:p>
      </xdr:txBody>
    </xdr:sp>
    <xdr:clientData/>
  </xdr:twoCellAnchor>
  <xdr:twoCellAnchor>
    <xdr:from>
      <xdr:col>4</xdr:col>
      <xdr:colOff>419099</xdr:colOff>
      <xdr:row>14</xdr:row>
      <xdr:rowOff>19049</xdr:rowOff>
    </xdr:from>
    <xdr:to>
      <xdr:col>8</xdr:col>
      <xdr:colOff>464699</xdr:colOff>
      <xdr:row>15</xdr:row>
      <xdr:rowOff>104774</xdr:rowOff>
    </xdr:to>
    <xdr:sp macro="" textlink="">
      <xdr:nvSpPr>
        <xdr:cNvPr id="13" name="Rounded Rectangle 12">
          <a:hlinkClick xmlns:r="http://schemas.openxmlformats.org/officeDocument/2006/relationships" r:id="rId4"/>
        </xdr:cNvPr>
        <xdr:cNvSpPr/>
      </xdr:nvSpPr>
      <xdr:spPr>
        <a:xfrm>
          <a:off x="2857499" y="2952749"/>
          <a:ext cx="24840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4. Weight flor slabs per m</a:t>
          </a:r>
          <a:r>
            <a:rPr lang="en-US" sz="1200" b="1" baseline="30000"/>
            <a:t>2</a:t>
          </a:r>
        </a:p>
      </xdr:txBody>
    </xdr:sp>
    <xdr:clientData/>
  </xdr:twoCellAnchor>
  <xdr:twoCellAnchor>
    <xdr:from>
      <xdr:col>0</xdr:col>
      <xdr:colOff>190501</xdr:colOff>
      <xdr:row>15</xdr:row>
      <xdr:rowOff>142874</xdr:rowOff>
    </xdr:from>
    <xdr:to>
      <xdr:col>4</xdr:col>
      <xdr:colOff>236101</xdr:colOff>
      <xdr:row>17</xdr:row>
      <xdr:rowOff>38099</xdr:rowOff>
    </xdr:to>
    <xdr:sp macro="" textlink="">
      <xdr:nvSpPr>
        <xdr:cNvPr id="14" name="Rounded Rectangle 13">
          <a:hlinkClick xmlns:r="http://schemas.openxmlformats.org/officeDocument/2006/relationships" r:id="rId5"/>
        </xdr:cNvPr>
        <xdr:cNvSpPr/>
      </xdr:nvSpPr>
      <xdr:spPr>
        <a:xfrm>
          <a:off x="190501" y="3267074"/>
          <a:ext cx="24840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5. Earthquake load</a:t>
          </a:r>
        </a:p>
      </xdr:txBody>
    </xdr:sp>
    <xdr:clientData/>
  </xdr:twoCellAnchor>
  <xdr:twoCellAnchor>
    <xdr:from>
      <xdr:col>4</xdr:col>
      <xdr:colOff>342901</xdr:colOff>
      <xdr:row>15</xdr:row>
      <xdr:rowOff>142874</xdr:rowOff>
    </xdr:from>
    <xdr:to>
      <xdr:col>8</xdr:col>
      <xdr:colOff>388501</xdr:colOff>
      <xdr:row>17</xdr:row>
      <xdr:rowOff>38099</xdr:rowOff>
    </xdr:to>
    <xdr:sp macro="" textlink="">
      <xdr:nvSpPr>
        <xdr:cNvPr id="15" name="Rounded Rectangle 14">
          <a:hlinkClick xmlns:r="http://schemas.openxmlformats.org/officeDocument/2006/relationships" r:id="rId6"/>
        </xdr:cNvPr>
        <xdr:cNvSpPr/>
      </xdr:nvSpPr>
      <xdr:spPr>
        <a:xfrm>
          <a:off x="2781301" y="3267074"/>
          <a:ext cx="24840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6. Offer</a:t>
          </a:r>
        </a:p>
      </xdr:txBody>
    </xdr:sp>
    <xdr:clientData/>
  </xdr:twoCellAnchor>
  <xdr:twoCellAnchor>
    <xdr:from>
      <xdr:col>4</xdr:col>
      <xdr:colOff>315915</xdr:colOff>
      <xdr:row>17</xdr:row>
      <xdr:rowOff>69848</xdr:rowOff>
    </xdr:from>
    <xdr:to>
      <xdr:col>8</xdr:col>
      <xdr:colOff>361515</xdr:colOff>
      <xdr:row>20</xdr:row>
      <xdr:rowOff>46988</xdr:rowOff>
    </xdr:to>
    <xdr:sp macro="" textlink="">
      <xdr:nvSpPr>
        <xdr:cNvPr id="16" name="Rounded Rectangle 15">
          <a:hlinkClick xmlns:r="http://schemas.openxmlformats.org/officeDocument/2006/relationships" r:id="rId7"/>
        </xdr:cNvPr>
        <xdr:cNvSpPr/>
      </xdr:nvSpPr>
      <xdr:spPr>
        <a:xfrm>
          <a:off x="2913642" y="3576780"/>
          <a:ext cx="2643328" cy="548640"/>
        </a:xfrm>
        <a:prstGeom prst="roundRect">
          <a:avLst/>
        </a:prstGeom>
        <a:solidFill>
          <a:schemeClr val="accent6">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sr-Latn-RS" sz="1200" b="1"/>
            <a:t>0 .</a:t>
          </a:r>
          <a:r>
            <a:rPr lang="en-US" sz="1200" b="1"/>
            <a:t>ORDER form</a:t>
          </a:r>
        </a:p>
      </xdr:txBody>
    </xdr:sp>
    <xdr:clientData/>
  </xdr:twoCellAnchor>
  <xdr:twoCellAnchor>
    <xdr:from>
      <xdr:col>10</xdr:col>
      <xdr:colOff>601257</xdr:colOff>
      <xdr:row>12</xdr:row>
      <xdr:rowOff>19050</xdr:rowOff>
    </xdr:from>
    <xdr:to>
      <xdr:col>15</xdr:col>
      <xdr:colOff>504825</xdr:colOff>
      <xdr:row>15</xdr:row>
      <xdr:rowOff>66156</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oneCellAnchor>
    <xdr:from>
      <xdr:col>9</xdr:col>
      <xdr:colOff>16876</xdr:colOff>
      <xdr:row>2</xdr:row>
      <xdr:rowOff>182342</xdr:rowOff>
    </xdr:from>
    <xdr:ext cx="1325418" cy="1671206"/>
    <xdr:sp macro="" textlink="">
      <xdr:nvSpPr>
        <xdr:cNvPr id="19" name="Rectangle 18"/>
        <xdr:cNvSpPr/>
      </xdr:nvSpPr>
      <xdr:spPr>
        <a:xfrm>
          <a:off x="5922376" y="563342"/>
          <a:ext cx="1325418" cy="1671206"/>
        </a:xfrm>
        <a:prstGeom prst="rect">
          <a:avLst/>
        </a:prstGeom>
        <a:noFill/>
      </xdr:spPr>
      <xdr:txBody>
        <a:bodyPr wrap="square" lIns="91440" tIns="45720" rIns="91440" bIns="45720">
          <a:noAutofit/>
        </a:bodyPr>
        <a:lstStyle/>
        <a:p>
          <a:pPr algn="ctr"/>
          <a:r>
            <a:rPr lang="en-US" sz="9600" b="0" cap="none" spc="0">
              <a:ln w="18415" cmpd="sng">
                <a:solidFill>
                  <a:srgbClr val="FFFFFF"/>
                </a:solidFill>
                <a:prstDash val="solid"/>
              </a:ln>
              <a:solidFill>
                <a:srgbClr val="002060"/>
              </a:solidFill>
              <a:effectLst>
                <a:outerShdw blurRad="63500" dir="3600000" algn="tl" rotWithShape="0">
                  <a:srgbClr val="000000">
                    <a:alpha val="70000"/>
                  </a:srgbClr>
                </a:outerShdw>
              </a:effectLst>
              <a:latin typeface="+mn-lt"/>
              <a:ea typeface="Tahoma" pitchFamily="34" charset="0"/>
              <a:cs typeface="Tahoma" pitchFamily="34" charset="0"/>
            </a:rPr>
            <a:t>0</a:t>
          </a:r>
        </a:p>
      </xdr:txBody>
    </xdr:sp>
    <xdr:clientData/>
  </xdr:oneCellAnchor>
  <xdr:twoCellAnchor>
    <xdr:from>
      <xdr:col>0</xdr:col>
      <xdr:colOff>238140</xdr:colOff>
      <xdr:row>17</xdr:row>
      <xdr:rowOff>71441</xdr:rowOff>
    </xdr:from>
    <xdr:to>
      <xdr:col>4</xdr:col>
      <xdr:colOff>283740</xdr:colOff>
      <xdr:row>20</xdr:row>
      <xdr:rowOff>48581</xdr:rowOff>
    </xdr:to>
    <xdr:sp macro="" textlink="">
      <xdr:nvSpPr>
        <xdr:cNvPr id="20" name="Rounded Rectangle 19">
          <a:hlinkClick xmlns:r="http://schemas.openxmlformats.org/officeDocument/2006/relationships" r:id="rId13"/>
        </xdr:cNvPr>
        <xdr:cNvSpPr/>
      </xdr:nvSpPr>
      <xdr:spPr>
        <a:xfrm>
          <a:off x="238140" y="3578373"/>
          <a:ext cx="2643327" cy="548640"/>
        </a:xfrm>
        <a:prstGeom prst="roundRect">
          <a:avLst/>
        </a:prstGeom>
        <a:solidFill>
          <a:schemeClr val="tx2">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7. Bill of Quantities, estimate, value of works</a:t>
          </a:r>
        </a:p>
      </xdr:txBody>
    </xdr:sp>
    <xdr:clientData/>
  </xdr:twoCellAnchor>
  <xdr:twoCellAnchor editAs="oneCell">
    <xdr:from>
      <xdr:col>11</xdr:col>
      <xdr:colOff>30302</xdr:colOff>
      <xdr:row>2</xdr:row>
      <xdr:rowOff>132484</xdr:rowOff>
    </xdr:from>
    <xdr:to>
      <xdr:col>15</xdr:col>
      <xdr:colOff>453731</xdr:colOff>
      <xdr:row>12</xdr:row>
      <xdr:rowOff>32904</xdr:rowOff>
    </xdr:to>
    <xdr:pic>
      <xdr:nvPicPr>
        <xdr:cNvPr id="21" name="Picture 20" descr="C:\Users\Zarko\Downloads\images (1).jpg"/>
        <xdr:cNvPicPr/>
      </xdr:nvPicPr>
      <xdr:blipFill>
        <a:blip xmlns:r="http://schemas.openxmlformats.org/officeDocument/2006/relationships" r:embed="rId14" cstate="print"/>
        <a:srcRect/>
        <a:stretch>
          <a:fillRect/>
        </a:stretch>
      </xdr:blipFill>
      <xdr:spPr bwMode="auto">
        <a:xfrm>
          <a:off x="7155002" y="513484"/>
          <a:ext cx="2861829" cy="1605395"/>
        </a:xfrm>
        <a:prstGeom prst="rect">
          <a:avLst/>
        </a:prstGeom>
        <a:ln>
          <a:noFill/>
        </a:ln>
        <a:effectLst>
          <a:softEdge rad="112500"/>
        </a:effectLst>
      </xdr:spPr>
    </xdr:pic>
    <xdr:clientData/>
  </xdr:twoCellAnchor>
  <xdr:twoCellAnchor>
    <xdr:from>
      <xdr:col>3</xdr:col>
      <xdr:colOff>485775</xdr:colOff>
      <xdr:row>20</xdr:row>
      <xdr:rowOff>122093</xdr:rowOff>
    </xdr:from>
    <xdr:to>
      <xdr:col>5</xdr:col>
      <xdr:colOff>97847</xdr:colOff>
      <xdr:row>22</xdr:row>
      <xdr:rowOff>122959</xdr:rowOff>
    </xdr:to>
    <xdr:sp macro="" textlink="">
      <xdr:nvSpPr>
        <xdr:cNvPr id="17" name="Flowchart: Off-page Connector 16">
          <a:hlinkClick xmlns:r="http://schemas.openxmlformats.org/officeDocument/2006/relationships" r:id="rId15"/>
        </xdr:cNvPr>
        <xdr:cNvSpPr/>
      </xdr:nvSpPr>
      <xdr:spPr>
        <a:xfrm>
          <a:off x="2428875" y="3998768"/>
          <a:ext cx="907472" cy="381866"/>
        </a:xfrm>
        <a:prstGeom prst="flowChartOffpageConnector">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HOME</a:t>
          </a:r>
          <a:endParaRPr lang="sr-Latn-C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0</xdr:row>
      <xdr:rowOff>95249</xdr:rowOff>
    </xdr:from>
    <xdr:to>
      <xdr:col>4</xdr:col>
      <xdr:colOff>102749</xdr:colOff>
      <xdr:row>1</xdr:row>
      <xdr:rowOff>180974</xdr:rowOff>
    </xdr:to>
    <xdr:sp macro="" textlink="">
      <xdr:nvSpPr>
        <xdr:cNvPr id="2" name="Rounded Rectangle 1">
          <a:hlinkClick xmlns:r="http://schemas.openxmlformats.org/officeDocument/2006/relationships" r:id="rId1"/>
        </xdr:cNvPr>
        <xdr:cNvSpPr/>
      </xdr:nvSpPr>
      <xdr:spPr>
        <a:xfrm>
          <a:off x="57149" y="2647949"/>
          <a:ext cx="2636400" cy="276225"/>
        </a:xfrm>
        <a:prstGeom prst="roundRect">
          <a:avLst/>
        </a:prstGeom>
        <a:solidFill>
          <a:schemeClr val="accent6">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1. Surface and floor height</a:t>
          </a:r>
        </a:p>
      </xdr:txBody>
    </xdr:sp>
    <xdr:clientData/>
  </xdr:twoCellAnchor>
  <xdr:twoCellAnchor>
    <xdr:from>
      <xdr:col>4</xdr:col>
      <xdr:colOff>495297</xdr:colOff>
      <xdr:row>0</xdr:row>
      <xdr:rowOff>95249</xdr:rowOff>
    </xdr:from>
    <xdr:to>
      <xdr:col>8</xdr:col>
      <xdr:colOff>540897</xdr:colOff>
      <xdr:row>1</xdr:row>
      <xdr:rowOff>180974</xdr:rowOff>
    </xdr:to>
    <xdr:sp macro="" textlink="">
      <xdr:nvSpPr>
        <xdr:cNvPr id="3" name="Rounded Rectangle 2">
          <a:hlinkClick xmlns:r="http://schemas.openxmlformats.org/officeDocument/2006/relationships" r:id="rId2"/>
        </xdr:cNvPr>
        <xdr:cNvSpPr/>
      </xdr:nvSpPr>
      <xdr:spPr>
        <a:xfrm>
          <a:off x="3086097"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2. Length and thickness of the walls</a:t>
          </a:r>
        </a:p>
      </xdr:txBody>
    </xdr:sp>
    <xdr:clientData/>
  </xdr:twoCellAnchor>
  <xdr:twoCellAnchor>
    <xdr:from>
      <xdr:col>0</xdr:col>
      <xdr:colOff>133349</xdr:colOff>
      <xdr:row>2</xdr:row>
      <xdr:rowOff>19049</xdr:rowOff>
    </xdr:from>
    <xdr:to>
      <xdr:col>4</xdr:col>
      <xdr:colOff>178949</xdr:colOff>
      <xdr:row>3</xdr:row>
      <xdr:rowOff>104774</xdr:rowOff>
    </xdr:to>
    <xdr:sp macro="" textlink="">
      <xdr:nvSpPr>
        <xdr:cNvPr id="4" name="Rounded Rectangle 3">
          <a:hlinkClick xmlns:r="http://schemas.openxmlformats.org/officeDocument/2006/relationships" r:id="rId3"/>
        </xdr:cNvPr>
        <xdr:cNvSpPr/>
      </xdr:nvSpPr>
      <xdr:spPr>
        <a:xfrm>
          <a:off x="13334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3. The quality of plaster</a:t>
          </a:r>
        </a:p>
      </xdr:txBody>
    </xdr:sp>
    <xdr:clientData/>
  </xdr:twoCellAnchor>
  <xdr:twoCellAnchor>
    <xdr:from>
      <xdr:col>4</xdr:col>
      <xdr:colOff>419099</xdr:colOff>
      <xdr:row>2</xdr:row>
      <xdr:rowOff>19049</xdr:rowOff>
    </xdr:from>
    <xdr:to>
      <xdr:col>8</xdr:col>
      <xdr:colOff>464699</xdr:colOff>
      <xdr:row>3</xdr:row>
      <xdr:rowOff>104774</xdr:rowOff>
    </xdr:to>
    <xdr:sp macro="" textlink="">
      <xdr:nvSpPr>
        <xdr:cNvPr id="5" name="Rounded Rectangle 4">
          <a:hlinkClick xmlns:r="http://schemas.openxmlformats.org/officeDocument/2006/relationships" r:id="rId4"/>
        </xdr:cNvPr>
        <xdr:cNvSpPr/>
      </xdr:nvSpPr>
      <xdr:spPr>
        <a:xfrm>
          <a:off x="300989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4. Weight flor slabs per m</a:t>
          </a:r>
          <a:r>
            <a:rPr lang="en-US" sz="1200" b="1" baseline="30000"/>
            <a:t>2</a:t>
          </a:r>
        </a:p>
      </xdr:txBody>
    </xdr:sp>
    <xdr:clientData/>
  </xdr:twoCellAnchor>
  <xdr:twoCellAnchor>
    <xdr:from>
      <xdr:col>0</xdr:col>
      <xdr:colOff>190501</xdr:colOff>
      <xdr:row>3</xdr:row>
      <xdr:rowOff>142874</xdr:rowOff>
    </xdr:from>
    <xdr:to>
      <xdr:col>4</xdr:col>
      <xdr:colOff>236101</xdr:colOff>
      <xdr:row>5</xdr:row>
      <xdr:rowOff>38099</xdr:rowOff>
    </xdr:to>
    <xdr:sp macro="" textlink="">
      <xdr:nvSpPr>
        <xdr:cNvPr id="6" name="Rounded Rectangle 5">
          <a:hlinkClick xmlns:r="http://schemas.openxmlformats.org/officeDocument/2006/relationships" r:id="rId5"/>
        </xdr:cNvPr>
        <xdr:cNvSpPr/>
      </xdr:nvSpPr>
      <xdr:spPr>
        <a:xfrm>
          <a:off x="190501" y="3267074"/>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5. Earthquake load</a:t>
          </a:r>
        </a:p>
      </xdr:txBody>
    </xdr:sp>
    <xdr:clientData/>
  </xdr:twoCellAnchor>
  <xdr:twoCellAnchor>
    <xdr:from>
      <xdr:col>4</xdr:col>
      <xdr:colOff>342901</xdr:colOff>
      <xdr:row>3</xdr:row>
      <xdr:rowOff>142874</xdr:rowOff>
    </xdr:from>
    <xdr:to>
      <xdr:col>8</xdr:col>
      <xdr:colOff>388501</xdr:colOff>
      <xdr:row>5</xdr:row>
      <xdr:rowOff>38099</xdr:rowOff>
    </xdr:to>
    <xdr:sp macro="" textlink="">
      <xdr:nvSpPr>
        <xdr:cNvPr id="7" name="Rounded Rectangle 6">
          <a:hlinkClick xmlns:r="http://schemas.openxmlformats.org/officeDocument/2006/relationships" r:id="rId6"/>
        </xdr:cNvPr>
        <xdr:cNvSpPr/>
      </xdr:nvSpPr>
      <xdr:spPr>
        <a:xfrm>
          <a:off x="2933701" y="3267074"/>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solidFill>
                <a:schemeClr val="dk1"/>
              </a:solidFill>
              <a:latin typeface="+mn-lt"/>
              <a:ea typeface="+mn-ea"/>
              <a:cs typeface="+mn-cs"/>
            </a:rPr>
            <a:t>6. Offer</a:t>
          </a:r>
        </a:p>
      </xdr:txBody>
    </xdr:sp>
    <xdr:clientData/>
  </xdr:twoCellAnchor>
  <xdr:twoCellAnchor>
    <xdr:from>
      <xdr:col>4</xdr:col>
      <xdr:colOff>298449</xdr:colOff>
      <xdr:row>5</xdr:row>
      <xdr:rowOff>79373</xdr:rowOff>
    </xdr:from>
    <xdr:to>
      <xdr:col>8</xdr:col>
      <xdr:colOff>344049</xdr:colOff>
      <xdr:row>8</xdr:row>
      <xdr:rowOff>56513</xdr:rowOff>
    </xdr:to>
    <xdr:sp macro="" textlink="">
      <xdr:nvSpPr>
        <xdr:cNvPr id="8" name="Rounded Rectangle 7">
          <a:hlinkClick xmlns:r="http://schemas.openxmlformats.org/officeDocument/2006/relationships" r:id="rId7"/>
        </xdr:cNvPr>
        <xdr:cNvSpPr/>
      </xdr:nvSpPr>
      <xdr:spPr>
        <a:xfrm>
          <a:off x="2889249" y="1031873"/>
          <a:ext cx="2649100" cy="548640"/>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sr-Latn-RS" sz="1200" b="1"/>
            <a:t>0. </a:t>
          </a:r>
          <a:r>
            <a:rPr lang="en-US" sz="1200" b="1"/>
            <a:t>ORDER form</a:t>
          </a:r>
        </a:p>
      </xdr:txBody>
    </xdr:sp>
    <xdr:clientData/>
  </xdr:twoCellAnchor>
  <xdr:twoCellAnchor>
    <xdr:from>
      <xdr:col>11</xdr:col>
      <xdr:colOff>399761</xdr:colOff>
      <xdr:row>14</xdr:row>
      <xdr:rowOff>57150</xdr:rowOff>
    </xdr:from>
    <xdr:to>
      <xdr:col>16</xdr:col>
      <xdr:colOff>180975</xdr:colOff>
      <xdr:row>17</xdr:row>
      <xdr:rowOff>99348</xdr:rowOff>
    </xdr:to>
    <xdr:graphicFrame macro="">
      <xdr:nvGraphicFramePr>
        <xdr:cNvPr id="9" name="Diagram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oneCellAnchor>
    <xdr:from>
      <xdr:col>9</xdr:col>
      <xdr:colOff>219497</xdr:colOff>
      <xdr:row>5</xdr:row>
      <xdr:rowOff>157814</xdr:rowOff>
    </xdr:from>
    <xdr:ext cx="1245729" cy="1828800"/>
    <xdr:sp macro="" textlink="">
      <xdr:nvSpPr>
        <xdr:cNvPr id="10" name="Rectangle 9"/>
        <xdr:cNvSpPr/>
      </xdr:nvSpPr>
      <xdr:spPr>
        <a:xfrm>
          <a:off x="6058322" y="1110314"/>
          <a:ext cx="1245729" cy="1828800"/>
        </a:xfrm>
        <a:prstGeom prst="rect">
          <a:avLst/>
        </a:prstGeom>
        <a:noFill/>
      </xdr:spPr>
      <xdr:txBody>
        <a:bodyPr wrap="square" lIns="91440" tIns="45720" rIns="91440" bIns="45720">
          <a:noAutofit/>
        </a:bodyPr>
        <a:lstStyle/>
        <a:p>
          <a:pPr algn="ctr"/>
          <a:r>
            <a:rPr lang="en-US" sz="9600" b="0" cap="none" spc="0">
              <a:ln w="18415" cmpd="sng">
                <a:solidFill>
                  <a:srgbClr val="FFFFFF"/>
                </a:solidFill>
                <a:prstDash val="solid"/>
              </a:ln>
              <a:solidFill>
                <a:schemeClr val="tx2"/>
              </a:solidFill>
              <a:effectLst>
                <a:outerShdw blurRad="63500" dir="3600000" algn="tl" rotWithShape="0">
                  <a:srgbClr val="000000">
                    <a:alpha val="70000"/>
                  </a:srgbClr>
                </a:outerShdw>
              </a:effectLst>
              <a:latin typeface="+mn-lt"/>
              <a:ea typeface="Tahoma" pitchFamily="34" charset="0"/>
              <a:cs typeface="Tahoma" pitchFamily="34" charset="0"/>
            </a:rPr>
            <a:t>1</a:t>
          </a:r>
        </a:p>
      </xdr:txBody>
    </xdr:sp>
    <xdr:clientData/>
  </xdr:oneCellAnchor>
  <xdr:twoCellAnchor>
    <xdr:from>
      <xdr:col>0</xdr:col>
      <xdr:colOff>215900</xdr:colOff>
      <xdr:row>5</xdr:row>
      <xdr:rowOff>76200</xdr:rowOff>
    </xdr:from>
    <xdr:to>
      <xdr:col>4</xdr:col>
      <xdr:colOff>268427</xdr:colOff>
      <xdr:row>8</xdr:row>
      <xdr:rowOff>53340</xdr:rowOff>
    </xdr:to>
    <xdr:sp macro="" textlink="">
      <xdr:nvSpPr>
        <xdr:cNvPr id="11" name="Rounded Rectangle 10">
          <a:hlinkClick xmlns:r="http://schemas.openxmlformats.org/officeDocument/2006/relationships" r:id="rId13"/>
        </xdr:cNvPr>
        <xdr:cNvSpPr/>
      </xdr:nvSpPr>
      <xdr:spPr>
        <a:xfrm>
          <a:off x="215900" y="1028700"/>
          <a:ext cx="2643327" cy="548640"/>
        </a:xfrm>
        <a:prstGeom prst="roundRect">
          <a:avLst/>
        </a:prstGeom>
        <a:solidFill>
          <a:schemeClr val="tx2">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7. Bill of Quantities, estimate, value of works</a:t>
          </a:r>
        </a:p>
      </xdr:txBody>
    </xdr:sp>
    <xdr:clientData/>
  </xdr:twoCellAnchor>
  <xdr:twoCellAnchor editAs="oneCell">
    <xdr:from>
      <xdr:col>11</xdr:col>
      <xdr:colOff>324715</xdr:colOff>
      <xdr:row>5</xdr:row>
      <xdr:rowOff>169718</xdr:rowOff>
    </xdr:from>
    <xdr:to>
      <xdr:col>16</xdr:col>
      <xdr:colOff>138545</xdr:colOff>
      <xdr:row>14</xdr:row>
      <xdr:rowOff>36368</xdr:rowOff>
    </xdr:to>
    <xdr:pic>
      <xdr:nvPicPr>
        <xdr:cNvPr id="12" name="Picture 11" descr="C:\Users\Zarko\Downloads\images (1).jpg"/>
        <xdr:cNvPicPr/>
      </xdr:nvPicPr>
      <xdr:blipFill>
        <a:blip xmlns:r="http://schemas.openxmlformats.org/officeDocument/2006/relationships" r:embed="rId14" cstate="print"/>
        <a:srcRect/>
        <a:stretch>
          <a:fillRect/>
        </a:stretch>
      </xdr:blipFill>
      <xdr:spPr bwMode="auto">
        <a:xfrm>
          <a:off x="7382740" y="1122218"/>
          <a:ext cx="2861830" cy="1609725"/>
        </a:xfrm>
        <a:prstGeom prst="rect">
          <a:avLst/>
        </a:prstGeom>
        <a:ln>
          <a:noFill/>
        </a:ln>
        <a:effectLst>
          <a:softEdge rad="112500"/>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57149</xdr:colOff>
      <xdr:row>0</xdr:row>
      <xdr:rowOff>95249</xdr:rowOff>
    </xdr:from>
    <xdr:to>
      <xdr:col>4</xdr:col>
      <xdr:colOff>102749</xdr:colOff>
      <xdr:row>1</xdr:row>
      <xdr:rowOff>180974</xdr:rowOff>
    </xdr:to>
    <xdr:sp macro="" textlink="">
      <xdr:nvSpPr>
        <xdr:cNvPr id="2" name="Rounded Rectangle 1">
          <a:hlinkClick xmlns:r="http://schemas.openxmlformats.org/officeDocument/2006/relationships" r:id="rId1"/>
        </xdr:cNvPr>
        <xdr:cNvSpPr/>
      </xdr:nvSpPr>
      <xdr:spPr>
        <a:xfrm>
          <a:off x="57149"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1. Surface and floor height</a:t>
          </a:r>
        </a:p>
      </xdr:txBody>
    </xdr:sp>
    <xdr:clientData/>
  </xdr:twoCellAnchor>
  <xdr:twoCellAnchor>
    <xdr:from>
      <xdr:col>4</xdr:col>
      <xdr:colOff>495297</xdr:colOff>
      <xdr:row>0</xdr:row>
      <xdr:rowOff>95249</xdr:rowOff>
    </xdr:from>
    <xdr:to>
      <xdr:col>8</xdr:col>
      <xdr:colOff>540897</xdr:colOff>
      <xdr:row>1</xdr:row>
      <xdr:rowOff>180974</xdr:rowOff>
    </xdr:to>
    <xdr:sp macro="" textlink="">
      <xdr:nvSpPr>
        <xdr:cNvPr id="3" name="Rounded Rectangle 2">
          <a:hlinkClick xmlns:r="http://schemas.openxmlformats.org/officeDocument/2006/relationships" r:id="rId2"/>
        </xdr:cNvPr>
        <xdr:cNvSpPr/>
      </xdr:nvSpPr>
      <xdr:spPr>
        <a:xfrm>
          <a:off x="3086097" y="2647949"/>
          <a:ext cx="2636400" cy="276225"/>
        </a:xfrm>
        <a:prstGeom prst="roundRect">
          <a:avLst/>
        </a:prstGeom>
        <a:solidFill>
          <a:schemeClr val="accent6">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2. Length and thickness of the walls</a:t>
          </a:r>
        </a:p>
      </xdr:txBody>
    </xdr:sp>
    <xdr:clientData/>
  </xdr:twoCellAnchor>
  <xdr:twoCellAnchor>
    <xdr:from>
      <xdr:col>0</xdr:col>
      <xdr:colOff>133349</xdr:colOff>
      <xdr:row>2</xdr:row>
      <xdr:rowOff>19049</xdr:rowOff>
    </xdr:from>
    <xdr:to>
      <xdr:col>4</xdr:col>
      <xdr:colOff>178949</xdr:colOff>
      <xdr:row>3</xdr:row>
      <xdr:rowOff>104774</xdr:rowOff>
    </xdr:to>
    <xdr:sp macro="" textlink="">
      <xdr:nvSpPr>
        <xdr:cNvPr id="4" name="Rounded Rectangle 3">
          <a:hlinkClick xmlns:r="http://schemas.openxmlformats.org/officeDocument/2006/relationships" r:id="rId3"/>
        </xdr:cNvPr>
        <xdr:cNvSpPr/>
      </xdr:nvSpPr>
      <xdr:spPr>
        <a:xfrm>
          <a:off x="13334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3. The quality of plaster</a:t>
          </a:r>
        </a:p>
      </xdr:txBody>
    </xdr:sp>
    <xdr:clientData/>
  </xdr:twoCellAnchor>
  <xdr:twoCellAnchor>
    <xdr:from>
      <xdr:col>4</xdr:col>
      <xdr:colOff>419099</xdr:colOff>
      <xdr:row>2</xdr:row>
      <xdr:rowOff>19049</xdr:rowOff>
    </xdr:from>
    <xdr:to>
      <xdr:col>8</xdr:col>
      <xdr:colOff>464699</xdr:colOff>
      <xdr:row>3</xdr:row>
      <xdr:rowOff>104774</xdr:rowOff>
    </xdr:to>
    <xdr:sp macro="" textlink="">
      <xdr:nvSpPr>
        <xdr:cNvPr id="5" name="Rounded Rectangle 4">
          <a:hlinkClick xmlns:r="http://schemas.openxmlformats.org/officeDocument/2006/relationships" r:id="rId4"/>
        </xdr:cNvPr>
        <xdr:cNvSpPr/>
      </xdr:nvSpPr>
      <xdr:spPr>
        <a:xfrm>
          <a:off x="300989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4. Weight flor slabs per m</a:t>
          </a:r>
          <a:r>
            <a:rPr lang="en-US" sz="1200" b="1" baseline="30000"/>
            <a:t>2</a:t>
          </a:r>
        </a:p>
      </xdr:txBody>
    </xdr:sp>
    <xdr:clientData/>
  </xdr:twoCellAnchor>
  <xdr:twoCellAnchor>
    <xdr:from>
      <xdr:col>0</xdr:col>
      <xdr:colOff>190501</xdr:colOff>
      <xdr:row>3</xdr:row>
      <xdr:rowOff>142874</xdr:rowOff>
    </xdr:from>
    <xdr:to>
      <xdr:col>4</xdr:col>
      <xdr:colOff>236101</xdr:colOff>
      <xdr:row>5</xdr:row>
      <xdr:rowOff>38099</xdr:rowOff>
    </xdr:to>
    <xdr:sp macro="" textlink="">
      <xdr:nvSpPr>
        <xdr:cNvPr id="6" name="Rounded Rectangle 5">
          <a:hlinkClick xmlns:r="http://schemas.openxmlformats.org/officeDocument/2006/relationships" r:id="rId5"/>
        </xdr:cNvPr>
        <xdr:cNvSpPr/>
      </xdr:nvSpPr>
      <xdr:spPr>
        <a:xfrm>
          <a:off x="190501" y="3267074"/>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5. Earthquake load</a:t>
          </a:r>
        </a:p>
      </xdr:txBody>
    </xdr:sp>
    <xdr:clientData/>
  </xdr:twoCellAnchor>
  <xdr:twoCellAnchor>
    <xdr:from>
      <xdr:col>4</xdr:col>
      <xdr:colOff>342901</xdr:colOff>
      <xdr:row>3</xdr:row>
      <xdr:rowOff>142874</xdr:rowOff>
    </xdr:from>
    <xdr:to>
      <xdr:col>8</xdr:col>
      <xdr:colOff>388501</xdr:colOff>
      <xdr:row>5</xdr:row>
      <xdr:rowOff>38099</xdr:rowOff>
    </xdr:to>
    <xdr:sp macro="" textlink="">
      <xdr:nvSpPr>
        <xdr:cNvPr id="7" name="Rounded Rectangle 6">
          <a:hlinkClick xmlns:r="http://schemas.openxmlformats.org/officeDocument/2006/relationships" r:id="rId6"/>
        </xdr:cNvPr>
        <xdr:cNvSpPr/>
      </xdr:nvSpPr>
      <xdr:spPr>
        <a:xfrm>
          <a:off x="2933701" y="3267074"/>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solidFill>
                <a:schemeClr val="dk1"/>
              </a:solidFill>
              <a:latin typeface="+mn-lt"/>
              <a:ea typeface="+mn-ea"/>
              <a:cs typeface="+mn-cs"/>
            </a:rPr>
            <a:t>6. Offer</a:t>
          </a:r>
        </a:p>
      </xdr:txBody>
    </xdr:sp>
    <xdr:clientData/>
  </xdr:twoCellAnchor>
  <xdr:twoCellAnchor>
    <xdr:from>
      <xdr:col>4</xdr:col>
      <xdr:colOff>309209</xdr:colOff>
      <xdr:row>5</xdr:row>
      <xdr:rowOff>71069</xdr:rowOff>
    </xdr:from>
    <xdr:to>
      <xdr:col>8</xdr:col>
      <xdr:colOff>381892</xdr:colOff>
      <xdr:row>8</xdr:row>
      <xdr:rowOff>48209</xdr:rowOff>
    </xdr:to>
    <xdr:sp macro="" textlink="">
      <xdr:nvSpPr>
        <xdr:cNvPr id="8" name="Rounded Rectangle 7">
          <a:hlinkClick xmlns:r="http://schemas.openxmlformats.org/officeDocument/2006/relationships" r:id="rId7"/>
        </xdr:cNvPr>
        <xdr:cNvSpPr/>
      </xdr:nvSpPr>
      <xdr:spPr>
        <a:xfrm>
          <a:off x="2888286" y="1023569"/>
          <a:ext cx="2651760" cy="548640"/>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ORDER form</a:t>
          </a:r>
        </a:p>
      </xdr:txBody>
    </xdr:sp>
    <xdr:clientData/>
  </xdr:twoCellAnchor>
  <xdr:twoCellAnchor>
    <xdr:from>
      <xdr:col>11</xdr:col>
      <xdr:colOff>443345</xdr:colOff>
      <xdr:row>14</xdr:row>
      <xdr:rowOff>76199</xdr:rowOff>
    </xdr:from>
    <xdr:to>
      <xdr:col>16</xdr:col>
      <xdr:colOff>0</xdr:colOff>
      <xdr:row>17</xdr:row>
      <xdr:rowOff>112914</xdr:rowOff>
    </xdr:to>
    <xdr:graphicFrame macro="">
      <xdr:nvGraphicFramePr>
        <xdr:cNvPr id="9" name="Diagram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oneCellAnchor>
    <xdr:from>
      <xdr:col>9</xdr:col>
      <xdr:colOff>227443</xdr:colOff>
      <xdr:row>6</xdr:row>
      <xdr:rowOff>112854</xdr:rowOff>
    </xdr:from>
    <xdr:ext cx="1245729" cy="1828800"/>
    <xdr:sp macro="" textlink="">
      <xdr:nvSpPr>
        <xdr:cNvPr id="10" name="Rectangle 9"/>
        <xdr:cNvSpPr/>
      </xdr:nvSpPr>
      <xdr:spPr>
        <a:xfrm>
          <a:off x="6056743" y="1255854"/>
          <a:ext cx="1245729" cy="1828800"/>
        </a:xfrm>
        <a:prstGeom prst="rect">
          <a:avLst/>
        </a:prstGeom>
        <a:noFill/>
      </xdr:spPr>
      <xdr:txBody>
        <a:bodyPr wrap="square" lIns="91440" tIns="45720" rIns="91440" bIns="45720">
          <a:noAutofit/>
        </a:bodyPr>
        <a:lstStyle/>
        <a:p>
          <a:pPr algn="ctr"/>
          <a:r>
            <a:rPr lang="en-US" sz="9600" b="0" cap="none" spc="0">
              <a:ln w="18415" cmpd="sng">
                <a:solidFill>
                  <a:srgbClr val="FFFFFF"/>
                </a:solidFill>
                <a:prstDash val="solid"/>
              </a:ln>
              <a:solidFill>
                <a:schemeClr val="tx2"/>
              </a:solidFill>
              <a:effectLst>
                <a:outerShdw blurRad="63500" dir="3600000" algn="tl" rotWithShape="0">
                  <a:srgbClr val="000000">
                    <a:alpha val="70000"/>
                  </a:srgbClr>
                </a:outerShdw>
              </a:effectLst>
              <a:latin typeface="+mn-lt"/>
              <a:ea typeface="Tahoma" pitchFamily="34" charset="0"/>
              <a:cs typeface="Tahoma" pitchFamily="34" charset="0"/>
            </a:rPr>
            <a:t>2</a:t>
          </a:r>
        </a:p>
      </xdr:txBody>
    </xdr:sp>
    <xdr:clientData/>
  </xdr:oneCellAnchor>
  <xdr:twoCellAnchor>
    <xdr:from>
      <xdr:col>0</xdr:col>
      <xdr:colOff>219809</xdr:colOff>
      <xdr:row>5</xdr:row>
      <xdr:rowOff>65943</xdr:rowOff>
    </xdr:from>
    <xdr:to>
      <xdr:col>4</xdr:col>
      <xdr:colOff>292492</xdr:colOff>
      <xdr:row>8</xdr:row>
      <xdr:rowOff>43083</xdr:rowOff>
    </xdr:to>
    <xdr:sp macro="" textlink="">
      <xdr:nvSpPr>
        <xdr:cNvPr id="11" name="Rounded Rectangle 10">
          <a:hlinkClick xmlns:r="http://schemas.openxmlformats.org/officeDocument/2006/relationships" r:id="rId13"/>
        </xdr:cNvPr>
        <xdr:cNvSpPr/>
      </xdr:nvSpPr>
      <xdr:spPr>
        <a:xfrm>
          <a:off x="219809" y="1018443"/>
          <a:ext cx="2651760" cy="548640"/>
        </a:xfrm>
        <a:prstGeom prst="roundRect">
          <a:avLst/>
        </a:prstGeom>
        <a:solidFill>
          <a:schemeClr val="tx2">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7. Bill of Quantities, estimate, value of works</a:t>
          </a:r>
        </a:p>
      </xdr:txBody>
    </xdr:sp>
    <xdr:clientData/>
  </xdr:twoCellAnchor>
  <xdr:twoCellAnchor editAs="oneCell">
    <xdr:from>
      <xdr:col>11</xdr:col>
      <xdr:colOff>354155</xdr:colOff>
      <xdr:row>5</xdr:row>
      <xdr:rowOff>181840</xdr:rowOff>
    </xdr:from>
    <xdr:to>
      <xdr:col>16</xdr:col>
      <xdr:colOff>167984</xdr:colOff>
      <xdr:row>14</xdr:row>
      <xdr:rowOff>48490</xdr:rowOff>
    </xdr:to>
    <xdr:pic>
      <xdr:nvPicPr>
        <xdr:cNvPr id="12" name="Picture 11" descr="C:\Users\Zarko\Downloads\images (1).jpg"/>
        <xdr:cNvPicPr/>
      </xdr:nvPicPr>
      <xdr:blipFill>
        <a:blip xmlns:r="http://schemas.openxmlformats.org/officeDocument/2006/relationships" r:embed="rId14" cstate="print"/>
        <a:srcRect/>
        <a:stretch>
          <a:fillRect/>
        </a:stretch>
      </xdr:blipFill>
      <xdr:spPr bwMode="auto">
        <a:xfrm>
          <a:off x="7402655" y="1134340"/>
          <a:ext cx="2861829" cy="16097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57149</xdr:colOff>
      <xdr:row>0</xdr:row>
      <xdr:rowOff>95249</xdr:rowOff>
    </xdr:from>
    <xdr:to>
      <xdr:col>4</xdr:col>
      <xdr:colOff>102749</xdr:colOff>
      <xdr:row>1</xdr:row>
      <xdr:rowOff>180974</xdr:rowOff>
    </xdr:to>
    <xdr:sp macro="" textlink="">
      <xdr:nvSpPr>
        <xdr:cNvPr id="2" name="Rounded Rectangle 1">
          <a:hlinkClick xmlns:r="http://schemas.openxmlformats.org/officeDocument/2006/relationships" r:id="rId1"/>
        </xdr:cNvPr>
        <xdr:cNvSpPr/>
      </xdr:nvSpPr>
      <xdr:spPr>
        <a:xfrm>
          <a:off x="57149"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1. Surface and floor height</a:t>
          </a:r>
        </a:p>
      </xdr:txBody>
    </xdr:sp>
    <xdr:clientData/>
  </xdr:twoCellAnchor>
  <xdr:twoCellAnchor>
    <xdr:from>
      <xdr:col>4</xdr:col>
      <xdr:colOff>495297</xdr:colOff>
      <xdr:row>0</xdr:row>
      <xdr:rowOff>95249</xdr:rowOff>
    </xdr:from>
    <xdr:to>
      <xdr:col>8</xdr:col>
      <xdr:colOff>540897</xdr:colOff>
      <xdr:row>1</xdr:row>
      <xdr:rowOff>180974</xdr:rowOff>
    </xdr:to>
    <xdr:sp macro="" textlink="">
      <xdr:nvSpPr>
        <xdr:cNvPr id="3" name="Rounded Rectangle 2">
          <a:hlinkClick xmlns:r="http://schemas.openxmlformats.org/officeDocument/2006/relationships" r:id="rId2"/>
        </xdr:cNvPr>
        <xdr:cNvSpPr/>
      </xdr:nvSpPr>
      <xdr:spPr>
        <a:xfrm>
          <a:off x="3086097"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2. Length and thickness of the walls</a:t>
          </a:r>
        </a:p>
      </xdr:txBody>
    </xdr:sp>
    <xdr:clientData/>
  </xdr:twoCellAnchor>
  <xdr:twoCellAnchor>
    <xdr:from>
      <xdr:col>0</xdr:col>
      <xdr:colOff>133349</xdr:colOff>
      <xdr:row>2</xdr:row>
      <xdr:rowOff>19049</xdr:rowOff>
    </xdr:from>
    <xdr:to>
      <xdr:col>4</xdr:col>
      <xdr:colOff>178949</xdr:colOff>
      <xdr:row>3</xdr:row>
      <xdr:rowOff>104774</xdr:rowOff>
    </xdr:to>
    <xdr:sp macro="" textlink="">
      <xdr:nvSpPr>
        <xdr:cNvPr id="4" name="Rounded Rectangle 3"/>
        <xdr:cNvSpPr/>
      </xdr:nvSpPr>
      <xdr:spPr>
        <a:xfrm>
          <a:off x="133349" y="2952749"/>
          <a:ext cx="2636400" cy="276225"/>
        </a:xfrm>
        <a:prstGeom prst="roundRect">
          <a:avLst/>
        </a:prstGeom>
        <a:solidFill>
          <a:schemeClr val="accent6">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3. The quality of plaster</a:t>
          </a:r>
        </a:p>
      </xdr:txBody>
    </xdr:sp>
    <xdr:clientData/>
  </xdr:twoCellAnchor>
  <xdr:twoCellAnchor>
    <xdr:from>
      <xdr:col>4</xdr:col>
      <xdr:colOff>419099</xdr:colOff>
      <xdr:row>2</xdr:row>
      <xdr:rowOff>19049</xdr:rowOff>
    </xdr:from>
    <xdr:to>
      <xdr:col>8</xdr:col>
      <xdr:colOff>464699</xdr:colOff>
      <xdr:row>3</xdr:row>
      <xdr:rowOff>104774</xdr:rowOff>
    </xdr:to>
    <xdr:sp macro="" textlink="">
      <xdr:nvSpPr>
        <xdr:cNvPr id="5" name="Rounded Rectangle 4">
          <a:hlinkClick xmlns:r="http://schemas.openxmlformats.org/officeDocument/2006/relationships" r:id="rId3"/>
        </xdr:cNvPr>
        <xdr:cNvSpPr/>
      </xdr:nvSpPr>
      <xdr:spPr>
        <a:xfrm>
          <a:off x="300989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4. Weight flor slabs per m</a:t>
          </a:r>
          <a:r>
            <a:rPr lang="en-US" sz="1200" b="1" baseline="30000"/>
            <a:t>2</a:t>
          </a:r>
        </a:p>
      </xdr:txBody>
    </xdr:sp>
    <xdr:clientData/>
  </xdr:twoCellAnchor>
  <xdr:twoCellAnchor>
    <xdr:from>
      <xdr:col>0</xdr:col>
      <xdr:colOff>190501</xdr:colOff>
      <xdr:row>3</xdr:row>
      <xdr:rowOff>142874</xdr:rowOff>
    </xdr:from>
    <xdr:to>
      <xdr:col>4</xdr:col>
      <xdr:colOff>236101</xdr:colOff>
      <xdr:row>5</xdr:row>
      <xdr:rowOff>38099</xdr:rowOff>
    </xdr:to>
    <xdr:sp macro="" textlink="">
      <xdr:nvSpPr>
        <xdr:cNvPr id="6" name="Rounded Rectangle 5">
          <a:hlinkClick xmlns:r="http://schemas.openxmlformats.org/officeDocument/2006/relationships" r:id="rId4"/>
        </xdr:cNvPr>
        <xdr:cNvSpPr/>
      </xdr:nvSpPr>
      <xdr:spPr>
        <a:xfrm>
          <a:off x="190501" y="3267074"/>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5. Earthquake load</a:t>
          </a:r>
        </a:p>
      </xdr:txBody>
    </xdr:sp>
    <xdr:clientData/>
  </xdr:twoCellAnchor>
  <xdr:twoCellAnchor>
    <xdr:from>
      <xdr:col>4</xdr:col>
      <xdr:colOff>342901</xdr:colOff>
      <xdr:row>3</xdr:row>
      <xdr:rowOff>142874</xdr:rowOff>
    </xdr:from>
    <xdr:to>
      <xdr:col>8</xdr:col>
      <xdr:colOff>388501</xdr:colOff>
      <xdr:row>5</xdr:row>
      <xdr:rowOff>38099</xdr:rowOff>
    </xdr:to>
    <xdr:sp macro="" textlink="">
      <xdr:nvSpPr>
        <xdr:cNvPr id="7" name="Rounded Rectangle 6">
          <a:hlinkClick xmlns:r="http://schemas.openxmlformats.org/officeDocument/2006/relationships" r:id="rId5"/>
        </xdr:cNvPr>
        <xdr:cNvSpPr/>
      </xdr:nvSpPr>
      <xdr:spPr>
        <a:xfrm>
          <a:off x="2933701" y="3267074"/>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solidFill>
                <a:schemeClr val="dk1"/>
              </a:solidFill>
              <a:latin typeface="+mn-lt"/>
              <a:ea typeface="+mn-ea"/>
              <a:cs typeface="+mn-cs"/>
            </a:rPr>
            <a:t>6. Offer</a:t>
          </a:r>
        </a:p>
      </xdr:txBody>
    </xdr:sp>
    <xdr:clientData/>
  </xdr:twoCellAnchor>
  <xdr:twoCellAnchor>
    <xdr:from>
      <xdr:col>4</xdr:col>
      <xdr:colOff>306530</xdr:colOff>
      <xdr:row>5</xdr:row>
      <xdr:rowOff>68405</xdr:rowOff>
    </xdr:from>
    <xdr:to>
      <xdr:col>8</xdr:col>
      <xdr:colOff>360562</xdr:colOff>
      <xdr:row>8</xdr:row>
      <xdr:rowOff>45545</xdr:rowOff>
    </xdr:to>
    <xdr:sp macro="" textlink="">
      <xdr:nvSpPr>
        <xdr:cNvPr id="8" name="Rounded Rectangle 7">
          <a:hlinkClick xmlns:r="http://schemas.openxmlformats.org/officeDocument/2006/relationships" r:id="rId6"/>
        </xdr:cNvPr>
        <xdr:cNvSpPr/>
      </xdr:nvSpPr>
      <xdr:spPr>
        <a:xfrm>
          <a:off x="2904257" y="1020905"/>
          <a:ext cx="2651760" cy="548640"/>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ORDER form</a:t>
          </a:r>
        </a:p>
      </xdr:txBody>
    </xdr:sp>
    <xdr:clientData/>
  </xdr:twoCellAnchor>
  <xdr:twoCellAnchor>
    <xdr:from>
      <xdr:col>12</xdr:col>
      <xdr:colOff>107662</xdr:colOff>
      <xdr:row>13</xdr:row>
      <xdr:rowOff>171450</xdr:rowOff>
    </xdr:from>
    <xdr:to>
      <xdr:col>17</xdr:col>
      <xdr:colOff>123825</xdr:colOff>
      <xdr:row>16</xdr:row>
      <xdr:rowOff>126480</xdr:rowOff>
    </xdr:to>
    <xdr:graphicFrame macro="">
      <xdr:nvGraphicFramePr>
        <xdr:cNvPr id="9" name="Diagram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oneCellAnchor>
    <xdr:from>
      <xdr:col>9</xdr:col>
      <xdr:colOff>547837</xdr:colOff>
      <xdr:row>4</xdr:row>
      <xdr:rowOff>176356</xdr:rowOff>
    </xdr:from>
    <xdr:ext cx="1245729" cy="1828800"/>
    <xdr:sp macro="" textlink="">
      <xdr:nvSpPr>
        <xdr:cNvPr id="10" name="Rectangle 9"/>
        <xdr:cNvSpPr/>
      </xdr:nvSpPr>
      <xdr:spPr>
        <a:xfrm>
          <a:off x="6377137" y="938356"/>
          <a:ext cx="1245729" cy="1828800"/>
        </a:xfrm>
        <a:prstGeom prst="rect">
          <a:avLst/>
        </a:prstGeom>
        <a:noFill/>
      </xdr:spPr>
      <xdr:txBody>
        <a:bodyPr wrap="square" lIns="91440" tIns="45720" rIns="91440" bIns="45720">
          <a:noAutofit/>
        </a:bodyPr>
        <a:lstStyle/>
        <a:p>
          <a:pPr algn="ctr"/>
          <a:r>
            <a:rPr lang="en-US" sz="9600" b="0" cap="none" spc="0">
              <a:ln w="18415" cmpd="sng">
                <a:solidFill>
                  <a:srgbClr val="FFFFFF"/>
                </a:solidFill>
                <a:prstDash val="solid"/>
              </a:ln>
              <a:solidFill>
                <a:schemeClr val="tx2"/>
              </a:solidFill>
              <a:effectLst>
                <a:outerShdw blurRad="63500" dir="3600000" algn="tl" rotWithShape="0">
                  <a:srgbClr val="000000">
                    <a:alpha val="70000"/>
                  </a:srgbClr>
                </a:outerShdw>
              </a:effectLst>
              <a:latin typeface="+mn-lt"/>
              <a:ea typeface="Tahoma" pitchFamily="34" charset="0"/>
              <a:cs typeface="Tahoma" pitchFamily="34" charset="0"/>
            </a:rPr>
            <a:t>3</a:t>
          </a:r>
        </a:p>
      </xdr:txBody>
    </xdr:sp>
    <xdr:clientData/>
  </xdr:oneCellAnchor>
  <xdr:twoCellAnchor>
    <xdr:from>
      <xdr:col>0</xdr:col>
      <xdr:colOff>207816</xdr:colOff>
      <xdr:row>5</xdr:row>
      <xdr:rowOff>69272</xdr:rowOff>
    </xdr:from>
    <xdr:to>
      <xdr:col>4</xdr:col>
      <xdr:colOff>261849</xdr:colOff>
      <xdr:row>8</xdr:row>
      <xdr:rowOff>46412</xdr:rowOff>
    </xdr:to>
    <xdr:sp macro="" textlink="">
      <xdr:nvSpPr>
        <xdr:cNvPr id="11" name="Rounded Rectangle 10">
          <a:hlinkClick xmlns:r="http://schemas.openxmlformats.org/officeDocument/2006/relationships" r:id="rId12"/>
        </xdr:cNvPr>
        <xdr:cNvSpPr/>
      </xdr:nvSpPr>
      <xdr:spPr>
        <a:xfrm>
          <a:off x="207816" y="1021772"/>
          <a:ext cx="2651760" cy="548640"/>
        </a:xfrm>
        <a:prstGeom prst="roundRect">
          <a:avLst/>
        </a:prstGeom>
        <a:solidFill>
          <a:schemeClr val="tx2">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7. Bill of Quantities, estimate, value of works</a:t>
          </a:r>
        </a:p>
      </xdr:txBody>
    </xdr:sp>
    <xdr:clientData/>
  </xdr:twoCellAnchor>
  <xdr:twoCellAnchor editAs="oneCell">
    <xdr:from>
      <xdr:col>12</xdr:col>
      <xdr:colOff>208682</xdr:colOff>
      <xdr:row>5</xdr:row>
      <xdr:rowOff>27708</xdr:rowOff>
    </xdr:from>
    <xdr:to>
      <xdr:col>17</xdr:col>
      <xdr:colOff>25975</xdr:colOff>
      <xdr:row>13</xdr:row>
      <xdr:rowOff>103908</xdr:rowOff>
    </xdr:to>
    <xdr:pic>
      <xdr:nvPicPr>
        <xdr:cNvPr id="12" name="Picture 11" descr="C:\Users\Zarko\Downloads\images (1).jpg"/>
        <xdr:cNvPicPr/>
      </xdr:nvPicPr>
      <xdr:blipFill>
        <a:blip xmlns:r="http://schemas.openxmlformats.org/officeDocument/2006/relationships" r:embed="rId13" cstate="print"/>
        <a:srcRect/>
        <a:stretch>
          <a:fillRect/>
        </a:stretch>
      </xdr:blipFill>
      <xdr:spPr bwMode="auto">
        <a:xfrm>
          <a:off x="7866782" y="980208"/>
          <a:ext cx="2865293" cy="16097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0</xdr:row>
      <xdr:rowOff>95249</xdr:rowOff>
    </xdr:from>
    <xdr:to>
      <xdr:col>4</xdr:col>
      <xdr:colOff>102749</xdr:colOff>
      <xdr:row>1</xdr:row>
      <xdr:rowOff>180974</xdr:rowOff>
    </xdr:to>
    <xdr:sp macro="" textlink="">
      <xdr:nvSpPr>
        <xdr:cNvPr id="2" name="Rounded Rectangle 1">
          <a:hlinkClick xmlns:r="http://schemas.openxmlformats.org/officeDocument/2006/relationships" r:id="rId1"/>
        </xdr:cNvPr>
        <xdr:cNvSpPr/>
      </xdr:nvSpPr>
      <xdr:spPr>
        <a:xfrm>
          <a:off x="57149"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1. Surface and floor height</a:t>
          </a:r>
        </a:p>
      </xdr:txBody>
    </xdr:sp>
    <xdr:clientData/>
  </xdr:twoCellAnchor>
  <xdr:twoCellAnchor>
    <xdr:from>
      <xdr:col>4</xdr:col>
      <xdr:colOff>495297</xdr:colOff>
      <xdr:row>0</xdr:row>
      <xdr:rowOff>95249</xdr:rowOff>
    </xdr:from>
    <xdr:to>
      <xdr:col>8</xdr:col>
      <xdr:colOff>540897</xdr:colOff>
      <xdr:row>1</xdr:row>
      <xdr:rowOff>180974</xdr:rowOff>
    </xdr:to>
    <xdr:sp macro="" textlink="">
      <xdr:nvSpPr>
        <xdr:cNvPr id="3" name="Rounded Rectangle 2">
          <a:hlinkClick xmlns:r="http://schemas.openxmlformats.org/officeDocument/2006/relationships" r:id="rId2"/>
        </xdr:cNvPr>
        <xdr:cNvSpPr/>
      </xdr:nvSpPr>
      <xdr:spPr>
        <a:xfrm>
          <a:off x="3086097"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2. Length and thickness of the walls</a:t>
          </a:r>
        </a:p>
      </xdr:txBody>
    </xdr:sp>
    <xdr:clientData/>
  </xdr:twoCellAnchor>
  <xdr:twoCellAnchor>
    <xdr:from>
      <xdr:col>0</xdr:col>
      <xdr:colOff>133349</xdr:colOff>
      <xdr:row>2</xdr:row>
      <xdr:rowOff>19049</xdr:rowOff>
    </xdr:from>
    <xdr:to>
      <xdr:col>4</xdr:col>
      <xdr:colOff>178949</xdr:colOff>
      <xdr:row>3</xdr:row>
      <xdr:rowOff>104774</xdr:rowOff>
    </xdr:to>
    <xdr:sp macro="" textlink="">
      <xdr:nvSpPr>
        <xdr:cNvPr id="4" name="Rounded Rectangle 3">
          <a:hlinkClick xmlns:r="http://schemas.openxmlformats.org/officeDocument/2006/relationships" r:id="rId3"/>
        </xdr:cNvPr>
        <xdr:cNvSpPr/>
      </xdr:nvSpPr>
      <xdr:spPr>
        <a:xfrm>
          <a:off x="13334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3. The quality of plaster</a:t>
          </a:r>
        </a:p>
      </xdr:txBody>
    </xdr:sp>
    <xdr:clientData/>
  </xdr:twoCellAnchor>
  <xdr:twoCellAnchor>
    <xdr:from>
      <xdr:col>4</xdr:col>
      <xdr:colOff>419099</xdr:colOff>
      <xdr:row>2</xdr:row>
      <xdr:rowOff>19049</xdr:rowOff>
    </xdr:from>
    <xdr:to>
      <xdr:col>8</xdr:col>
      <xdr:colOff>464699</xdr:colOff>
      <xdr:row>3</xdr:row>
      <xdr:rowOff>104774</xdr:rowOff>
    </xdr:to>
    <xdr:sp macro="" textlink="">
      <xdr:nvSpPr>
        <xdr:cNvPr id="5" name="Rounded Rectangle 4">
          <a:hlinkClick xmlns:r="http://schemas.openxmlformats.org/officeDocument/2006/relationships" r:id="rId4"/>
        </xdr:cNvPr>
        <xdr:cNvSpPr/>
      </xdr:nvSpPr>
      <xdr:spPr>
        <a:xfrm>
          <a:off x="3009899" y="2952749"/>
          <a:ext cx="2636400" cy="276225"/>
        </a:xfrm>
        <a:prstGeom prst="roundRect">
          <a:avLst/>
        </a:prstGeom>
        <a:solidFill>
          <a:schemeClr val="accent6">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4. Weight flor slabs per m</a:t>
          </a:r>
          <a:r>
            <a:rPr lang="en-US" sz="1200" b="1" baseline="30000"/>
            <a:t>2</a:t>
          </a:r>
        </a:p>
      </xdr:txBody>
    </xdr:sp>
    <xdr:clientData/>
  </xdr:twoCellAnchor>
  <xdr:twoCellAnchor>
    <xdr:from>
      <xdr:col>0</xdr:col>
      <xdr:colOff>190501</xdr:colOff>
      <xdr:row>3</xdr:row>
      <xdr:rowOff>142874</xdr:rowOff>
    </xdr:from>
    <xdr:to>
      <xdr:col>4</xdr:col>
      <xdr:colOff>236101</xdr:colOff>
      <xdr:row>5</xdr:row>
      <xdr:rowOff>38099</xdr:rowOff>
    </xdr:to>
    <xdr:sp macro="" textlink="">
      <xdr:nvSpPr>
        <xdr:cNvPr id="6" name="Rounded Rectangle 5">
          <a:hlinkClick xmlns:r="http://schemas.openxmlformats.org/officeDocument/2006/relationships" r:id="rId5"/>
        </xdr:cNvPr>
        <xdr:cNvSpPr/>
      </xdr:nvSpPr>
      <xdr:spPr>
        <a:xfrm>
          <a:off x="190501" y="3267074"/>
          <a:ext cx="2636400" cy="276225"/>
        </a:xfrm>
        <a:prstGeom prst="roundRect">
          <a:avLst/>
        </a:prstGeom>
        <a:solidFill>
          <a:schemeClr val="tx2">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5. Earthquake load</a:t>
          </a:r>
        </a:p>
      </xdr:txBody>
    </xdr:sp>
    <xdr:clientData/>
  </xdr:twoCellAnchor>
  <xdr:twoCellAnchor>
    <xdr:from>
      <xdr:col>4</xdr:col>
      <xdr:colOff>342901</xdr:colOff>
      <xdr:row>3</xdr:row>
      <xdr:rowOff>142874</xdr:rowOff>
    </xdr:from>
    <xdr:to>
      <xdr:col>8</xdr:col>
      <xdr:colOff>388501</xdr:colOff>
      <xdr:row>5</xdr:row>
      <xdr:rowOff>38099</xdr:rowOff>
    </xdr:to>
    <xdr:sp macro="" textlink="">
      <xdr:nvSpPr>
        <xdr:cNvPr id="7" name="Rounded Rectangle 6">
          <a:hlinkClick xmlns:r="http://schemas.openxmlformats.org/officeDocument/2006/relationships" r:id="rId6"/>
        </xdr:cNvPr>
        <xdr:cNvSpPr/>
      </xdr:nvSpPr>
      <xdr:spPr>
        <a:xfrm>
          <a:off x="2933701" y="714374"/>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solidFill>
                <a:schemeClr val="dk1"/>
              </a:solidFill>
              <a:latin typeface="+mn-lt"/>
              <a:ea typeface="+mn-ea"/>
              <a:cs typeface="+mn-cs"/>
            </a:rPr>
            <a:t>6. Offer</a:t>
          </a:r>
        </a:p>
      </xdr:txBody>
    </xdr:sp>
    <xdr:clientData/>
  </xdr:twoCellAnchor>
  <xdr:twoCellAnchor>
    <xdr:from>
      <xdr:col>4</xdr:col>
      <xdr:colOff>297871</xdr:colOff>
      <xdr:row>5</xdr:row>
      <xdr:rowOff>68405</xdr:rowOff>
    </xdr:from>
    <xdr:to>
      <xdr:col>8</xdr:col>
      <xdr:colOff>351903</xdr:colOff>
      <xdr:row>8</xdr:row>
      <xdr:rowOff>45545</xdr:rowOff>
    </xdr:to>
    <xdr:sp macro="" textlink="">
      <xdr:nvSpPr>
        <xdr:cNvPr id="8" name="Rounded Rectangle 7">
          <a:hlinkClick xmlns:r="http://schemas.openxmlformats.org/officeDocument/2006/relationships" r:id="rId7"/>
        </xdr:cNvPr>
        <xdr:cNvSpPr/>
      </xdr:nvSpPr>
      <xdr:spPr>
        <a:xfrm>
          <a:off x="2895598" y="1020905"/>
          <a:ext cx="2651760" cy="548640"/>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ORDER form</a:t>
          </a:r>
        </a:p>
      </xdr:txBody>
    </xdr:sp>
    <xdr:clientData/>
  </xdr:twoCellAnchor>
  <xdr:twoCellAnchor>
    <xdr:from>
      <xdr:col>11</xdr:col>
      <xdr:colOff>71293</xdr:colOff>
      <xdr:row>13</xdr:row>
      <xdr:rowOff>95250</xdr:rowOff>
    </xdr:from>
    <xdr:to>
      <xdr:col>15</xdr:col>
      <xdr:colOff>571500</xdr:colOff>
      <xdr:row>16</xdr:row>
      <xdr:rowOff>83762</xdr:rowOff>
    </xdr:to>
    <xdr:graphicFrame macro="">
      <xdr:nvGraphicFramePr>
        <xdr:cNvPr id="9" name="Diagram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oneCellAnchor>
    <xdr:from>
      <xdr:col>9</xdr:col>
      <xdr:colOff>4907</xdr:colOff>
      <xdr:row>7</xdr:row>
      <xdr:rowOff>81107</xdr:rowOff>
    </xdr:from>
    <xdr:ext cx="1245729" cy="1828800"/>
    <xdr:sp macro="" textlink="">
      <xdr:nvSpPr>
        <xdr:cNvPr id="10" name="Rectangle 9"/>
        <xdr:cNvSpPr/>
      </xdr:nvSpPr>
      <xdr:spPr>
        <a:xfrm>
          <a:off x="5834207" y="1414607"/>
          <a:ext cx="1245729" cy="1828800"/>
        </a:xfrm>
        <a:prstGeom prst="rect">
          <a:avLst/>
        </a:prstGeom>
        <a:noFill/>
      </xdr:spPr>
      <xdr:txBody>
        <a:bodyPr wrap="square" lIns="91440" tIns="45720" rIns="91440" bIns="45720">
          <a:noAutofit/>
        </a:bodyPr>
        <a:lstStyle/>
        <a:p>
          <a:pPr algn="ctr"/>
          <a:r>
            <a:rPr lang="en-US" sz="9600" b="0" cap="none" spc="0">
              <a:ln w="18415" cmpd="sng">
                <a:solidFill>
                  <a:srgbClr val="FFFFFF"/>
                </a:solidFill>
                <a:prstDash val="solid"/>
              </a:ln>
              <a:solidFill>
                <a:schemeClr val="tx2"/>
              </a:solidFill>
              <a:effectLst>
                <a:outerShdw blurRad="63500" dir="3600000" algn="tl" rotWithShape="0">
                  <a:srgbClr val="000000">
                    <a:alpha val="70000"/>
                  </a:srgbClr>
                </a:outerShdw>
              </a:effectLst>
              <a:latin typeface="+mn-lt"/>
              <a:ea typeface="Tahoma" pitchFamily="34" charset="0"/>
              <a:cs typeface="Tahoma" pitchFamily="34" charset="0"/>
            </a:rPr>
            <a:t>4</a:t>
          </a:r>
        </a:p>
      </xdr:txBody>
    </xdr:sp>
    <xdr:clientData/>
  </xdr:oneCellAnchor>
  <xdr:twoCellAnchor>
    <xdr:from>
      <xdr:col>0</xdr:col>
      <xdr:colOff>207816</xdr:colOff>
      <xdr:row>5</xdr:row>
      <xdr:rowOff>69272</xdr:rowOff>
    </xdr:from>
    <xdr:to>
      <xdr:col>4</xdr:col>
      <xdr:colOff>280499</xdr:colOff>
      <xdr:row>8</xdr:row>
      <xdr:rowOff>46412</xdr:rowOff>
    </xdr:to>
    <xdr:sp macro="" textlink="">
      <xdr:nvSpPr>
        <xdr:cNvPr id="11" name="Rounded Rectangle 10">
          <a:hlinkClick xmlns:r="http://schemas.openxmlformats.org/officeDocument/2006/relationships" r:id="rId13"/>
        </xdr:cNvPr>
        <xdr:cNvSpPr/>
      </xdr:nvSpPr>
      <xdr:spPr>
        <a:xfrm>
          <a:off x="207816" y="1021772"/>
          <a:ext cx="2670410" cy="548640"/>
        </a:xfrm>
        <a:prstGeom prst="roundRect">
          <a:avLst/>
        </a:prstGeom>
        <a:solidFill>
          <a:schemeClr val="tx2">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7. Bill of Quantities, estimate, value of works</a:t>
          </a:r>
        </a:p>
      </xdr:txBody>
    </xdr:sp>
    <xdr:clientData/>
  </xdr:twoCellAnchor>
  <xdr:twoCellAnchor editAs="oneCell">
    <xdr:from>
      <xdr:col>11</xdr:col>
      <xdr:colOff>67539</xdr:colOff>
      <xdr:row>7</xdr:row>
      <xdr:rowOff>105643</xdr:rowOff>
    </xdr:from>
    <xdr:to>
      <xdr:col>15</xdr:col>
      <xdr:colOff>490968</xdr:colOff>
      <xdr:row>13</xdr:row>
      <xdr:rowOff>10393</xdr:rowOff>
    </xdr:to>
    <xdr:pic>
      <xdr:nvPicPr>
        <xdr:cNvPr id="12" name="Picture 11" descr="C:\Users\Zarko\Downloads\images (1).jpg"/>
        <xdr:cNvPicPr/>
      </xdr:nvPicPr>
      <xdr:blipFill>
        <a:blip xmlns:r="http://schemas.openxmlformats.org/officeDocument/2006/relationships" r:embed="rId14" cstate="print"/>
        <a:srcRect/>
        <a:stretch>
          <a:fillRect/>
        </a:stretch>
      </xdr:blipFill>
      <xdr:spPr bwMode="auto">
        <a:xfrm>
          <a:off x="7116039" y="1439143"/>
          <a:ext cx="2861829" cy="1609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57149</xdr:colOff>
      <xdr:row>0</xdr:row>
      <xdr:rowOff>95249</xdr:rowOff>
    </xdr:from>
    <xdr:to>
      <xdr:col>4</xdr:col>
      <xdr:colOff>102749</xdr:colOff>
      <xdr:row>1</xdr:row>
      <xdr:rowOff>180974</xdr:rowOff>
    </xdr:to>
    <xdr:sp macro="" textlink="">
      <xdr:nvSpPr>
        <xdr:cNvPr id="2" name="Rounded Rectangle 1">
          <a:hlinkClick xmlns:r="http://schemas.openxmlformats.org/officeDocument/2006/relationships" r:id="rId1"/>
        </xdr:cNvPr>
        <xdr:cNvSpPr/>
      </xdr:nvSpPr>
      <xdr:spPr>
        <a:xfrm>
          <a:off x="57149"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1. Surface and floor height</a:t>
          </a:r>
        </a:p>
      </xdr:txBody>
    </xdr:sp>
    <xdr:clientData/>
  </xdr:twoCellAnchor>
  <xdr:twoCellAnchor>
    <xdr:from>
      <xdr:col>4</xdr:col>
      <xdr:colOff>495297</xdr:colOff>
      <xdr:row>0</xdr:row>
      <xdr:rowOff>95249</xdr:rowOff>
    </xdr:from>
    <xdr:to>
      <xdr:col>8</xdr:col>
      <xdr:colOff>540897</xdr:colOff>
      <xdr:row>1</xdr:row>
      <xdr:rowOff>180974</xdr:rowOff>
    </xdr:to>
    <xdr:sp macro="" textlink="">
      <xdr:nvSpPr>
        <xdr:cNvPr id="3" name="Rounded Rectangle 2">
          <a:hlinkClick xmlns:r="http://schemas.openxmlformats.org/officeDocument/2006/relationships" r:id="rId2"/>
        </xdr:cNvPr>
        <xdr:cNvSpPr/>
      </xdr:nvSpPr>
      <xdr:spPr>
        <a:xfrm>
          <a:off x="3086097"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2. Length and thickness of the walls</a:t>
          </a:r>
        </a:p>
      </xdr:txBody>
    </xdr:sp>
    <xdr:clientData/>
  </xdr:twoCellAnchor>
  <xdr:twoCellAnchor>
    <xdr:from>
      <xdr:col>0</xdr:col>
      <xdr:colOff>133349</xdr:colOff>
      <xdr:row>2</xdr:row>
      <xdr:rowOff>19049</xdr:rowOff>
    </xdr:from>
    <xdr:to>
      <xdr:col>4</xdr:col>
      <xdr:colOff>178949</xdr:colOff>
      <xdr:row>3</xdr:row>
      <xdr:rowOff>104774</xdr:rowOff>
    </xdr:to>
    <xdr:sp macro="" textlink="">
      <xdr:nvSpPr>
        <xdr:cNvPr id="4" name="Rounded Rectangle 3">
          <a:hlinkClick xmlns:r="http://schemas.openxmlformats.org/officeDocument/2006/relationships" r:id="rId3"/>
        </xdr:cNvPr>
        <xdr:cNvSpPr/>
      </xdr:nvSpPr>
      <xdr:spPr>
        <a:xfrm>
          <a:off x="13334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3. The quality of plaster</a:t>
          </a:r>
        </a:p>
      </xdr:txBody>
    </xdr:sp>
    <xdr:clientData/>
  </xdr:twoCellAnchor>
  <xdr:twoCellAnchor>
    <xdr:from>
      <xdr:col>4</xdr:col>
      <xdr:colOff>419099</xdr:colOff>
      <xdr:row>2</xdr:row>
      <xdr:rowOff>19049</xdr:rowOff>
    </xdr:from>
    <xdr:to>
      <xdr:col>8</xdr:col>
      <xdr:colOff>464699</xdr:colOff>
      <xdr:row>3</xdr:row>
      <xdr:rowOff>104774</xdr:rowOff>
    </xdr:to>
    <xdr:sp macro="" textlink="">
      <xdr:nvSpPr>
        <xdr:cNvPr id="5" name="Rounded Rectangle 4">
          <a:hlinkClick xmlns:r="http://schemas.openxmlformats.org/officeDocument/2006/relationships" r:id="rId4"/>
        </xdr:cNvPr>
        <xdr:cNvSpPr/>
      </xdr:nvSpPr>
      <xdr:spPr>
        <a:xfrm>
          <a:off x="300989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4. Weight flor slabs per m</a:t>
          </a:r>
          <a:r>
            <a:rPr lang="en-US" sz="1200" b="1" baseline="30000"/>
            <a:t>2</a:t>
          </a:r>
        </a:p>
      </xdr:txBody>
    </xdr:sp>
    <xdr:clientData/>
  </xdr:twoCellAnchor>
  <xdr:twoCellAnchor>
    <xdr:from>
      <xdr:col>0</xdr:col>
      <xdr:colOff>190501</xdr:colOff>
      <xdr:row>3</xdr:row>
      <xdr:rowOff>142874</xdr:rowOff>
    </xdr:from>
    <xdr:to>
      <xdr:col>4</xdr:col>
      <xdr:colOff>236101</xdr:colOff>
      <xdr:row>5</xdr:row>
      <xdr:rowOff>38099</xdr:rowOff>
    </xdr:to>
    <xdr:sp macro="" textlink="">
      <xdr:nvSpPr>
        <xdr:cNvPr id="6" name="Rounded Rectangle 5">
          <a:hlinkClick xmlns:r="http://schemas.openxmlformats.org/officeDocument/2006/relationships" r:id="rId5"/>
        </xdr:cNvPr>
        <xdr:cNvSpPr/>
      </xdr:nvSpPr>
      <xdr:spPr>
        <a:xfrm>
          <a:off x="190501" y="3267074"/>
          <a:ext cx="2636400" cy="276225"/>
        </a:xfrm>
        <a:prstGeom prst="roundRect">
          <a:avLst/>
        </a:prstGeom>
        <a:solidFill>
          <a:schemeClr val="accent6">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5. Earthquake load</a:t>
          </a:r>
        </a:p>
      </xdr:txBody>
    </xdr:sp>
    <xdr:clientData/>
  </xdr:twoCellAnchor>
  <xdr:twoCellAnchor>
    <xdr:from>
      <xdr:col>4</xdr:col>
      <xdr:colOff>342901</xdr:colOff>
      <xdr:row>3</xdr:row>
      <xdr:rowOff>142874</xdr:rowOff>
    </xdr:from>
    <xdr:to>
      <xdr:col>8</xdr:col>
      <xdr:colOff>388501</xdr:colOff>
      <xdr:row>5</xdr:row>
      <xdr:rowOff>38099</xdr:rowOff>
    </xdr:to>
    <xdr:sp macro="" textlink="">
      <xdr:nvSpPr>
        <xdr:cNvPr id="7" name="Rounded Rectangle 6">
          <a:hlinkClick xmlns:r="http://schemas.openxmlformats.org/officeDocument/2006/relationships" r:id="rId6"/>
        </xdr:cNvPr>
        <xdr:cNvSpPr/>
      </xdr:nvSpPr>
      <xdr:spPr>
        <a:xfrm>
          <a:off x="2933701" y="714374"/>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solidFill>
                <a:schemeClr val="dk1"/>
              </a:solidFill>
              <a:latin typeface="+mn-lt"/>
              <a:ea typeface="+mn-ea"/>
              <a:cs typeface="+mn-cs"/>
            </a:rPr>
            <a:t>6. Offer</a:t>
          </a:r>
        </a:p>
      </xdr:txBody>
    </xdr:sp>
    <xdr:clientData/>
  </xdr:twoCellAnchor>
  <xdr:twoCellAnchor>
    <xdr:from>
      <xdr:col>4</xdr:col>
      <xdr:colOff>315174</xdr:colOff>
      <xdr:row>5</xdr:row>
      <xdr:rowOff>68405</xdr:rowOff>
    </xdr:from>
    <xdr:to>
      <xdr:col>8</xdr:col>
      <xdr:colOff>369206</xdr:colOff>
      <xdr:row>8</xdr:row>
      <xdr:rowOff>45545</xdr:rowOff>
    </xdr:to>
    <xdr:sp macro="" textlink="">
      <xdr:nvSpPr>
        <xdr:cNvPr id="8" name="Rounded Rectangle 7">
          <a:hlinkClick xmlns:r="http://schemas.openxmlformats.org/officeDocument/2006/relationships" r:id="rId7"/>
        </xdr:cNvPr>
        <xdr:cNvSpPr/>
      </xdr:nvSpPr>
      <xdr:spPr>
        <a:xfrm>
          <a:off x="2912901" y="1020905"/>
          <a:ext cx="2651760" cy="548640"/>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ORDER form</a:t>
          </a:r>
        </a:p>
      </xdr:txBody>
    </xdr:sp>
    <xdr:clientData/>
  </xdr:twoCellAnchor>
  <xdr:twoCellAnchor>
    <xdr:from>
      <xdr:col>11</xdr:col>
      <xdr:colOff>426892</xdr:colOff>
      <xdr:row>14</xdr:row>
      <xdr:rowOff>66676</xdr:rowOff>
    </xdr:from>
    <xdr:to>
      <xdr:col>15</xdr:col>
      <xdr:colOff>609599</xdr:colOff>
      <xdr:row>17</xdr:row>
      <xdr:rowOff>80876</xdr:rowOff>
    </xdr:to>
    <xdr:graphicFrame macro="">
      <xdr:nvGraphicFramePr>
        <xdr:cNvPr id="9" name="Diagram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oneCellAnchor>
    <xdr:from>
      <xdr:col>9</xdr:col>
      <xdr:colOff>157287</xdr:colOff>
      <xdr:row>6</xdr:row>
      <xdr:rowOff>2600</xdr:rowOff>
    </xdr:from>
    <xdr:ext cx="1245729" cy="1828800"/>
    <xdr:sp macro="" textlink="">
      <xdr:nvSpPr>
        <xdr:cNvPr id="10" name="Rectangle 9"/>
        <xdr:cNvSpPr/>
      </xdr:nvSpPr>
      <xdr:spPr>
        <a:xfrm>
          <a:off x="5986587" y="1145600"/>
          <a:ext cx="1245729" cy="1828800"/>
        </a:xfrm>
        <a:prstGeom prst="rect">
          <a:avLst/>
        </a:prstGeom>
        <a:noFill/>
      </xdr:spPr>
      <xdr:txBody>
        <a:bodyPr wrap="square" lIns="91440" tIns="45720" rIns="91440" bIns="45720">
          <a:noAutofit/>
        </a:bodyPr>
        <a:lstStyle/>
        <a:p>
          <a:pPr algn="ctr"/>
          <a:r>
            <a:rPr lang="en-US" sz="9600" b="0" cap="none" spc="0">
              <a:ln w="18415" cmpd="sng">
                <a:solidFill>
                  <a:srgbClr val="FFFFFF"/>
                </a:solidFill>
                <a:prstDash val="solid"/>
              </a:ln>
              <a:solidFill>
                <a:schemeClr val="tx2"/>
              </a:solidFill>
              <a:effectLst>
                <a:outerShdw blurRad="63500" dir="3600000" algn="tl" rotWithShape="0">
                  <a:srgbClr val="000000">
                    <a:alpha val="70000"/>
                  </a:srgbClr>
                </a:outerShdw>
              </a:effectLst>
              <a:latin typeface="+mn-lt"/>
              <a:ea typeface="Tahoma" pitchFamily="34" charset="0"/>
              <a:cs typeface="Tahoma" pitchFamily="34" charset="0"/>
            </a:rPr>
            <a:t>5</a:t>
          </a:r>
        </a:p>
      </xdr:txBody>
    </xdr:sp>
    <xdr:clientData/>
  </xdr:oneCellAnchor>
  <xdr:twoCellAnchor>
    <xdr:from>
      <xdr:col>0</xdr:col>
      <xdr:colOff>216475</xdr:colOff>
      <xdr:row>5</xdr:row>
      <xdr:rowOff>69272</xdr:rowOff>
    </xdr:from>
    <xdr:to>
      <xdr:col>4</xdr:col>
      <xdr:colOff>289158</xdr:colOff>
      <xdr:row>8</xdr:row>
      <xdr:rowOff>46412</xdr:rowOff>
    </xdr:to>
    <xdr:sp macro="" textlink="">
      <xdr:nvSpPr>
        <xdr:cNvPr id="11" name="Rounded Rectangle 10">
          <a:hlinkClick xmlns:r="http://schemas.openxmlformats.org/officeDocument/2006/relationships" r:id="rId13"/>
        </xdr:cNvPr>
        <xdr:cNvSpPr/>
      </xdr:nvSpPr>
      <xdr:spPr>
        <a:xfrm>
          <a:off x="216475" y="1021772"/>
          <a:ext cx="2670410" cy="548640"/>
        </a:xfrm>
        <a:prstGeom prst="roundRect">
          <a:avLst/>
        </a:prstGeom>
        <a:solidFill>
          <a:schemeClr val="tx2">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7. Bill of Quantities, estimate, value of works</a:t>
          </a:r>
        </a:p>
      </xdr:txBody>
    </xdr:sp>
    <xdr:clientData/>
  </xdr:twoCellAnchor>
  <xdr:twoCellAnchor editAs="oneCell">
    <xdr:from>
      <xdr:col>11</xdr:col>
      <xdr:colOff>316055</xdr:colOff>
      <xdr:row>5</xdr:row>
      <xdr:rowOff>123826</xdr:rowOff>
    </xdr:from>
    <xdr:to>
      <xdr:col>16</xdr:col>
      <xdr:colOff>129884</xdr:colOff>
      <xdr:row>14</xdr:row>
      <xdr:rowOff>9526</xdr:rowOff>
    </xdr:to>
    <xdr:pic>
      <xdr:nvPicPr>
        <xdr:cNvPr id="12" name="Picture 11" descr="C:\Users\Zarko\Downloads\images (1).jpg"/>
        <xdr:cNvPicPr/>
      </xdr:nvPicPr>
      <xdr:blipFill>
        <a:blip xmlns:r="http://schemas.openxmlformats.org/officeDocument/2006/relationships" r:embed="rId14" cstate="print"/>
        <a:srcRect/>
        <a:stretch>
          <a:fillRect/>
        </a:stretch>
      </xdr:blipFill>
      <xdr:spPr bwMode="auto">
        <a:xfrm>
          <a:off x="7364555" y="1076326"/>
          <a:ext cx="2861829" cy="1609725"/>
        </a:xfrm>
        <a:prstGeom prst="rect">
          <a:avLst/>
        </a:prstGeom>
        <a:ln>
          <a:noFill/>
        </a:ln>
        <a:effectLst>
          <a:softEdge rad="112500"/>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57149</xdr:colOff>
      <xdr:row>0</xdr:row>
      <xdr:rowOff>95249</xdr:rowOff>
    </xdr:from>
    <xdr:to>
      <xdr:col>4</xdr:col>
      <xdr:colOff>102749</xdr:colOff>
      <xdr:row>1</xdr:row>
      <xdr:rowOff>180974</xdr:rowOff>
    </xdr:to>
    <xdr:sp macro="" textlink="">
      <xdr:nvSpPr>
        <xdr:cNvPr id="2" name="Rounded Rectangle 1">
          <a:hlinkClick xmlns:r="http://schemas.openxmlformats.org/officeDocument/2006/relationships" r:id="rId1"/>
        </xdr:cNvPr>
        <xdr:cNvSpPr/>
      </xdr:nvSpPr>
      <xdr:spPr>
        <a:xfrm>
          <a:off x="57149"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050" b="1"/>
            <a:t>1. Surface and floor height</a:t>
          </a:r>
        </a:p>
      </xdr:txBody>
    </xdr:sp>
    <xdr:clientData/>
  </xdr:twoCellAnchor>
  <xdr:twoCellAnchor>
    <xdr:from>
      <xdr:col>4</xdr:col>
      <xdr:colOff>495297</xdr:colOff>
      <xdr:row>0</xdr:row>
      <xdr:rowOff>95249</xdr:rowOff>
    </xdr:from>
    <xdr:to>
      <xdr:col>8</xdr:col>
      <xdr:colOff>540897</xdr:colOff>
      <xdr:row>1</xdr:row>
      <xdr:rowOff>180974</xdr:rowOff>
    </xdr:to>
    <xdr:sp macro="" textlink="">
      <xdr:nvSpPr>
        <xdr:cNvPr id="3" name="Rounded Rectangle 2">
          <a:hlinkClick xmlns:r="http://schemas.openxmlformats.org/officeDocument/2006/relationships" r:id="rId2"/>
        </xdr:cNvPr>
        <xdr:cNvSpPr/>
      </xdr:nvSpPr>
      <xdr:spPr>
        <a:xfrm>
          <a:off x="3086097"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050" b="1"/>
            <a:t>2. Length and thickness of the walls</a:t>
          </a:r>
        </a:p>
      </xdr:txBody>
    </xdr:sp>
    <xdr:clientData/>
  </xdr:twoCellAnchor>
  <xdr:twoCellAnchor>
    <xdr:from>
      <xdr:col>0</xdr:col>
      <xdr:colOff>133349</xdr:colOff>
      <xdr:row>2</xdr:row>
      <xdr:rowOff>19049</xdr:rowOff>
    </xdr:from>
    <xdr:to>
      <xdr:col>4</xdr:col>
      <xdr:colOff>178949</xdr:colOff>
      <xdr:row>3</xdr:row>
      <xdr:rowOff>104774</xdr:rowOff>
    </xdr:to>
    <xdr:sp macro="" textlink="">
      <xdr:nvSpPr>
        <xdr:cNvPr id="4" name="Rounded Rectangle 3">
          <a:hlinkClick xmlns:r="http://schemas.openxmlformats.org/officeDocument/2006/relationships" r:id="rId3"/>
        </xdr:cNvPr>
        <xdr:cNvSpPr/>
      </xdr:nvSpPr>
      <xdr:spPr>
        <a:xfrm>
          <a:off x="13334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050" b="1"/>
            <a:t>3. The quality of plaster</a:t>
          </a:r>
        </a:p>
      </xdr:txBody>
    </xdr:sp>
    <xdr:clientData/>
  </xdr:twoCellAnchor>
  <xdr:twoCellAnchor>
    <xdr:from>
      <xdr:col>4</xdr:col>
      <xdr:colOff>419099</xdr:colOff>
      <xdr:row>2</xdr:row>
      <xdr:rowOff>19049</xdr:rowOff>
    </xdr:from>
    <xdr:to>
      <xdr:col>8</xdr:col>
      <xdr:colOff>464699</xdr:colOff>
      <xdr:row>3</xdr:row>
      <xdr:rowOff>104774</xdr:rowOff>
    </xdr:to>
    <xdr:sp macro="" textlink="">
      <xdr:nvSpPr>
        <xdr:cNvPr id="5" name="Rounded Rectangle 4">
          <a:hlinkClick xmlns:r="http://schemas.openxmlformats.org/officeDocument/2006/relationships" r:id="rId4"/>
        </xdr:cNvPr>
        <xdr:cNvSpPr/>
      </xdr:nvSpPr>
      <xdr:spPr>
        <a:xfrm>
          <a:off x="300989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050" b="1"/>
            <a:t>4. Weight flor slabs per m</a:t>
          </a:r>
          <a:r>
            <a:rPr lang="en-US" sz="1050" b="1" baseline="30000"/>
            <a:t>2</a:t>
          </a:r>
        </a:p>
      </xdr:txBody>
    </xdr:sp>
    <xdr:clientData/>
  </xdr:twoCellAnchor>
  <xdr:twoCellAnchor>
    <xdr:from>
      <xdr:col>0</xdr:col>
      <xdr:colOff>190501</xdr:colOff>
      <xdr:row>3</xdr:row>
      <xdr:rowOff>142874</xdr:rowOff>
    </xdr:from>
    <xdr:to>
      <xdr:col>4</xdr:col>
      <xdr:colOff>236101</xdr:colOff>
      <xdr:row>5</xdr:row>
      <xdr:rowOff>38099</xdr:rowOff>
    </xdr:to>
    <xdr:sp macro="" textlink="">
      <xdr:nvSpPr>
        <xdr:cNvPr id="6" name="Rounded Rectangle 5">
          <a:hlinkClick xmlns:r="http://schemas.openxmlformats.org/officeDocument/2006/relationships" r:id="rId5"/>
        </xdr:cNvPr>
        <xdr:cNvSpPr/>
      </xdr:nvSpPr>
      <xdr:spPr>
        <a:xfrm>
          <a:off x="190501" y="3267074"/>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050" b="1"/>
            <a:t>5. Earthquake load</a:t>
          </a:r>
        </a:p>
      </xdr:txBody>
    </xdr:sp>
    <xdr:clientData/>
  </xdr:twoCellAnchor>
  <xdr:twoCellAnchor>
    <xdr:from>
      <xdr:col>4</xdr:col>
      <xdr:colOff>342901</xdr:colOff>
      <xdr:row>3</xdr:row>
      <xdr:rowOff>142874</xdr:rowOff>
    </xdr:from>
    <xdr:to>
      <xdr:col>8</xdr:col>
      <xdr:colOff>388501</xdr:colOff>
      <xdr:row>5</xdr:row>
      <xdr:rowOff>38099</xdr:rowOff>
    </xdr:to>
    <xdr:sp macro="" textlink="">
      <xdr:nvSpPr>
        <xdr:cNvPr id="7" name="Rounded Rectangle 6"/>
        <xdr:cNvSpPr/>
      </xdr:nvSpPr>
      <xdr:spPr>
        <a:xfrm>
          <a:off x="2933701" y="3267074"/>
          <a:ext cx="2636400" cy="276225"/>
        </a:xfrm>
        <a:prstGeom prst="roundRect">
          <a:avLst/>
        </a:prstGeom>
        <a:solidFill>
          <a:schemeClr val="accent6">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050" b="1"/>
            <a:t>6. Offer</a:t>
          </a:r>
        </a:p>
      </xdr:txBody>
    </xdr:sp>
    <xdr:clientData/>
  </xdr:twoCellAnchor>
  <xdr:twoCellAnchor>
    <xdr:from>
      <xdr:col>4</xdr:col>
      <xdr:colOff>284162</xdr:colOff>
      <xdr:row>5</xdr:row>
      <xdr:rowOff>69848</xdr:rowOff>
    </xdr:from>
    <xdr:to>
      <xdr:col>8</xdr:col>
      <xdr:colOff>345637</xdr:colOff>
      <xdr:row>8</xdr:row>
      <xdr:rowOff>46988</xdr:rowOff>
    </xdr:to>
    <xdr:sp macro="" textlink="">
      <xdr:nvSpPr>
        <xdr:cNvPr id="8" name="Rounded Rectangle 7">
          <a:hlinkClick xmlns:r="http://schemas.openxmlformats.org/officeDocument/2006/relationships" r:id="rId6"/>
        </xdr:cNvPr>
        <xdr:cNvSpPr/>
      </xdr:nvSpPr>
      <xdr:spPr>
        <a:xfrm>
          <a:off x="2903537" y="1022348"/>
          <a:ext cx="2664975" cy="548640"/>
        </a:xfrm>
        <a:prstGeom prst="roundRect">
          <a:avLst/>
        </a:prstGeom>
        <a:solidFill>
          <a:schemeClr val="tx2">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050" b="1"/>
            <a:t>ORDER form</a:t>
          </a:r>
        </a:p>
      </xdr:txBody>
    </xdr:sp>
    <xdr:clientData/>
  </xdr:twoCellAnchor>
  <xdr:twoCellAnchor>
    <xdr:from>
      <xdr:col>11</xdr:col>
      <xdr:colOff>56285</xdr:colOff>
      <xdr:row>22</xdr:row>
      <xdr:rowOff>152400</xdr:rowOff>
    </xdr:from>
    <xdr:to>
      <xdr:col>15</xdr:col>
      <xdr:colOff>133351</xdr:colOff>
      <xdr:row>24</xdr:row>
      <xdr:rowOff>234084</xdr:rowOff>
    </xdr:to>
    <xdr:graphicFrame macro="">
      <xdr:nvGraphicFramePr>
        <xdr:cNvPr id="10" name="Diagram 9"/>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oneCellAnchor>
    <xdr:from>
      <xdr:col>9</xdr:col>
      <xdr:colOff>101601</xdr:colOff>
      <xdr:row>0</xdr:row>
      <xdr:rowOff>0</xdr:rowOff>
    </xdr:from>
    <xdr:ext cx="1031008" cy="1828800"/>
    <xdr:sp macro="" textlink="">
      <xdr:nvSpPr>
        <xdr:cNvPr id="13" name="Rectangle 12"/>
        <xdr:cNvSpPr/>
      </xdr:nvSpPr>
      <xdr:spPr>
        <a:xfrm>
          <a:off x="5959476" y="0"/>
          <a:ext cx="1031008" cy="1828800"/>
        </a:xfrm>
        <a:prstGeom prst="rect">
          <a:avLst/>
        </a:prstGeom>
        <a:noFill/>
      </xdr:spPr>
      <xdr:txBody>
        <a:bodyPr wrap="square" lIns="91440" tIns="45720" rIns="91440" bIns="45720">
          <a:noAutofit/>
        </a:bodyPr>
        <a:lstStyle/>
        <a:p>
          <a:pPr algn="ctr"/>
          <a:r>
            <a:rPr lang="en-US" sz="9600" b="0" cap="none" spc="0">
              <a:ln w="18415" cmpd="sng">
                <a:solidFill>
                  <a:srgbClr val="FFFFFF"/>
                </a:solidFill>
                <a:prstDash val="solid"/>
              </a:ln>
              <a:solidFill>
                <a:schemeClr val="tx2"/>
              </a:solidFill>
              <a:effectLst>
                <a:outerShdw blurRad="63500" dir="3600000" algn="tl" rotWithShape="0">
                  <a:srgbClr val="000000">
                    <a:alpha val="70000"/>
                  </a:srgbClr>
                </a:outerShdw>
              </a:effectLst>
              <a:latin typeface="+mn-lt"/>
              <a:ea typeface="Tahoma" pitchFamily="34" charset="0"/>
              <a:cs typeface="Tahoma" pitchFamily="34" charset="0"/>
            </a:rPr>
            <a:t>6</a:t>
          </a:r>
        </a:p>
      </xdr:txBody>
    </xdr:sp>
    <xdr:clientData/>
  </xdr:oneCellAnchor>
  <xdr:twoCellAnchor>
    <xdr:from>
      <xdr:col>0</xdr:col>
      <xdr:colOff>200025</xdr:colOff>
      <xdr:row>5</xdr:row>
      <xdr:rowOff>66675</xdr:rowOff>
    </xdr:from>
    <xdr:to>
      <xdr:col>4</xdr:col>
      <xdr:colOff>260585</xdr:colOff>
      <xdr:row>8</xdr:row>
      <xdr:rowOff>43815</xdr:rowOff>
    </xdr:to>
    <xdr:sp macro="" textlink="">
      <xdr:nvSpPr>
        <xdr:cNvPr id="12" name="Rounded Rectangle 11">
          <a:hlinkClick xmlns:r="http://schemas.openxmlformats.org/officeDocument/2006/relationships" r:id="rId12"/>
        </xdr:cNvPr>
        <xdr:cNvSpPr/>
      </xdr:nvSpPr>
      <xdr:spPr>
        <a:xfrm>
          <a:off x="200025" y="1019175"/>
          <a:ext cx="2670410" cy="548640"/>
        </a:xfrm>
        <a:prstGeom prst="roundRect">
          <a:avLst/>
        </a:prstGeom>
        <a:solidFill>
          <a:schemeClr val="tx2">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050" b="1"/>
            <a:t>7. Bill of Quantities, estimate, value of works</a:t>
          </a:r>
        </a:p>
      </xdr:txBody>
    </xdr:sp>
    <xdr:clientData/>
  </xdr:twoCellAnchor>
  <xdr:twoCellAnchor editAs="oneCell">
    <xdr:from>
      <xdr:col>15</xdr:col>
      <xdr:colOff>409575</xdr:colOff>
      <xdr:row>2</xdr:row>
      <xdr:rowOff>171450</xdr:rowOff>
    </xdr:from>
    <xdr:to>
      <xdr:col>18</xdr:col>
      <xdr:colOff>476251</xdr:colOff>
      <xdr:row>11</xdr:row>
      <xdr:rowOff>44161</xdr:rowOff>
    </xdr:to>
    <xdr:pic>
      <xdr:nvPicPr>
        <xdr:cNvPr id="14" name="Picture 13" descr="C:\Users\Zarko\Downloads\images (1).jpg"/>
        <xdr:cNvPicPr/>
      </xdr:nvPicPr>
      <xdr:blipFill>
        <a:blip xmlns:r="http://schemas.openxmlformats.org/officeDocument/2006/relationships" r:embed="rId13" cstate="print"/>
        <a:srcRect/>
        <a:stretch>
          <a:fillRect/>
        </a:stretch>
      </xdr:blipFill>
      <xdr:spPr bwMode="auto">
        <a:xfrm>
          <a:off x="9925050" y="533400"/>
          <a:ext cx="1895476" cy="1034761"/>
        </a:xfrm>
        <a:prstGeom prst="rect">
          <a:avLst/>
        </a:prstGeom>
        <a:ln>
          <a:noFill/>
        </a:ln>
        <a:effectLst>
          <a:softEdge rad="112500"/>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57149</xdr:colOff>
      <xdr:row>0</xdr:row>
      <xdr:rowOff>95249</xdr:rowOff>
    </xdr:from>
    <xdr:to>
      <xdr:col>4</xdr:col>
      <xdr:colOff>102749</xdr:colOff>
      <xdr:row>1</xdr:row>
      <xdr:rowOff>180974</xdr:rowOff>
    </xdr:to>
    <xdr:sp macro="" textlink="">
      <xdr:nvSpPr>
        <xdr:cNvPr id="2" name="Rounded Rectangle 1">
          <a:hlinkClick xmlns:r="http://schemas.openxmlformats.org/officeDocument/2006/relationships" r:id="rId1"/>
        </xdr:cNvPr>
        <xdr:cNvSpPr/>
      </xdr:nvSpPr>
      <xdr:spPr>
        <a:xfrm>
          <a:off x="57149"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000" b="1"/>
            <a:t>1. Surface and floor height</a:t>
          </a:r>
        </a:p>
      </xdr:txBody>
    </xdr:sp>
    <xdr:clientData/>
  </xdr:twoCellAnchor>
  <xdr:twoCellAnchor>
    <xdr:from>
      <xdr:col>4</xdr:col>
      <xdr:colOff>495297</xdr:colOff>
      <xdr:row>0</xdr:row>
      <xdr:rowOff>95249</xdr:rowOff>
    </xdr:from>
    <xdr:to>
      <xdr:col>8</xdr:col>
      <xdr:colOff>540897</xdr:colOff>
      <xdr:row>1</xdr:row>
      <xdr:rowOff>180974</xdr:rowOff>
    </xdr:to>
    <xdr:sp macro="" textlink="">
      <xdr:nvSpPr>
        <xdr:cNvPr id="3" name="Rounded Rectangle 2">
          <a:hlinkClick xmlns:r="http://schemas.openxmlformats.org/officeDocument/2006/relationships" r:id="rId2"/>
        </xdr:cNvPr>
        <xdr:cNvSpPr/>
      </xdr:nvSpPr>
      <xdr:spPr>
        <a:xfrm>
          <a:off x="3086097" y="26479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2. </a:t>
          </a:r>
          <a:r>
            <a:rPr lang="en-US" sz="1000" b="1"/>
            <a:t>Length</a:t>
          </a:r>
          <a:r>
            <a:rPr lang="en-US" sz="1200" b="1"/>
            <a:t> and thickness of the walls</a:t>
          </a:r>
        </a:p>
      </xdr:txBody>
    </xdr:sp>
    <xdr:clientData/>
  </xdr:twoCellAnchor>
  <xdr:twoCellAnchor>
    <xdr:from>
      <xdr:col>0</xdr:col>
      <xdr:colOff>133349</xdr:colOff>
      <xdr:row>2</xdr:row>
      <xdr:rowOff>19049</xdr:rowOff>
    </xdr:from>
    <xdr:to>
      <xdr:col>4</xdr:col>
      <xdr:colOff>178949</xdr:colOff>
      <xdr:row>3</xdr:row>
      <xdr:rowOff>104774</xdr:rowOff>
    </xdr:to>
    <xdr:sp macro="" textlink="">
      <xdr:nvSpPr>
        <xdr:cNvPr id="4" name="Rounded Rectangle 3">
          <a:hlinkClick xmlns:r="http://schemas.openxmlformats.org/officeDocument/2006/relationships" r:id="rId3"/>
        </xdr:cNvPr>
        <xdr:cNvSpPr/>
      </xdr:nvSpPr>
      <xdr:spPr>
        <a:xfrm>
          <a:off x="13334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3. The </a:t>
          </a:r>
          <a:r>
            <a:rPr lang="en-US" sz="1000" b="1"/>
            <a:t>quality</a:t>
          </a:r>
          <a:r>
            <a:rPr lang="en-US" sz="1200" b="1"/>
            <a:t> of plaster</a:t>
          </a:r>
        </a:p>
      </xdr:txBody>
    </xdr:sp>
    <xdr:clientData/>
  </xdr:twoCellAnchor>
  <xdr:twoCellAnchor>
    <xdr:from>
      <xdr:col>4</xdr:col>
      <xdr:colOff>419099</xdr:colOff>
      <xdr:row>2</xdr:row>
      <xdr:rowOff>19049</xdr:rowOff>
    </xdr:from>
    <xdr:to>
      <xdr:col>8</xdr:col>
      <xdr:colOff>464699</xdr:colOff>
      <xdr:row>3</xdr:row>
      <xdr:rowOff>104774</xdr:rowOff>
    </xdr:to>
    <xdr:sp macro="" textlink="">
      <xdr:nvSpPr>
        <xdr:cNvPr id="5" name="Rounded Rectangle 4">
          <a:hlinkClick xmlns:r="http://schemas.openxmlformats.org/officeDocument/2006/relationships" r:id="rId4"/>
        </xdr:cNvPr>
        <xdr:cNvSpPr/>
      </xdr:nvSpPr>
      <xdr:spPr>
        <a:xfrm>
          <a:off x="3009899" y="2952749"/>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4. </a:t>
          </a:r>
          <a:r>
            <a:rPr lang="en-US" sz="1000" b="1"/>
            <a:t>Weight</a:t>
          </a:r>
          <a:r>
            <a:rPr lang="en-US" sz="1200" b="1"/>
            <a:t> flor slabs per m</a:t>
          </a:r>
          <a:r>
            <a:rPr lang="en-US" sz="1200" b="1" baseline="30000"/>
            <a:t>2</a:t>
          </a:r>
        </a:p>
      </xdr:txBody>
    </xdr:sp>
    <xdr:clientData/>
  </xdr:twoCellAnchor>
  <xdr:twoCellAnchor>
    <xdr:from>
      <xdr:col>0</xdr:col>
      <xdr:colOff>190501</xdr:colOff>
      <xdr:row>3</xdr:row>
      <xdr:rowOff>142874</xdr:rowOff>
    </xdr:from>
    <xdr:to>
      <xdr:col>4</xdr:col>
      <xdr:colOff>236101</xdr:colOff>
      <xdr:row>5</xdr:row>
      <xdr:rowOff>38099</xdr:rowOff>
    </xdr:to>
    <xdr:sp macro="" textlink="">
      <xdr:nvSpPr>
        <xdr:cNvPr id="6" name="Rounded Rectangle 5">
          <a:hlinkClick xmlns:r="http://schemas.openxmlformats.org/officeDocument/2006/relationships" r:id="rId5"/>
        </xdr:cNvPr>
        <xdr:cNvSpPr/>
      </xdr:nvSpPr>
      <xdr:spPr>
        <a:xfrm>
          <a:off x="190501" y="3267074"/>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5. </a:t>
          </a:r>
          <a:r>
            <a:rPr lang="en-US" sz="1000" b="1"/>
            <a:t>Earthquake</a:t>
          </a:r>
          <a:r>
            <a:rPr lang="en-US" sz="1200" b="1"/>
            <a:t> load</a:t>
          </a:r>
        </a:p>
      </xdr:txBody>
    </xdr:sp>
    <xdr:clientData/>
  </xdr:twoCellAnchor>
  <xdr:twoCellAnchor>
    <xdr:from>
      <xdr:col>4</xdr:col>
      <xdr:colOff>342901</xdr:colOff>
      <xdr:row>3</xdr:row>
      <xdr:rowOff>142874</xdr:rowOff>
    </xdr:from>
    <xdr:to>
      <xdr:col>8</xdr:col>
      <xdr:colOff>388501</xdr:colOff>
      <xdr:row>5</xdr:row>
      <xdr:rowOff>38099</xdr:rowOff>
    </xdr:to>
    <xdr:sp macro="" textlink="">
      <xdr:nvSpPr>
        <xdr:cNvPr id="7" name="Rounded Rectangle 6">
          <a:hlinkClick xmlns:r="http://schemas.openxmlformats.org/officeDocument/2006/relationships" r:id="rId6"/>
        </xdr:cNvPr>
        <xdr:cNvSpPr/>
      </xdr:nvSpPr>
      <xdr:spPr>
        <a:xfrm>
          <a:off x="2933701" y="3267074"/>
          <a:ext cx="2636400" cy="276225"/>
        </a:xfrm>
        <a:prstGeom prst="roundRect">
          <a:avLst/>
        </a:prstGeom>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6. Offer</a:t>
          </a:r>
        </a:p>
      </xdr:txBody>
    </xdr:sp>
    <xdr:clientData/>
  </xdr:twoCellAnchor>
  <xdr:twoCellAnchor>
    <xdr:from>
      <xdr:col>4</xdr:col>
      <xdr:colOff>315915</xdr:colOff>
      <xdr:row>5</xdr:row>
      <xdr:rowOff>69848</xdr:rowOff>
    </xdr:from>
    <xdr:to>
      <xdr:col>8</xdr:col>
      <xdr:colOff>361515</xdr:colOff>
      <xdr:row>8</xdr:row>
      <xdr:rowOff>46988</xdr:rowOff>
    </xdr:to>
    <xdr:sp macro="" textlink="">
      <xdr:nvSpPr>
        <xdr:cNvPr id="8" name="Rounded Rectangle 7">
          <a:hlinkClick xmlns:r="http://schemas.openxmlformats.org/officeDocument/2006/relationships" r:id="rId7"/>
        </xdr:cNvPr>
        <xdr:cNvSpPr/>
      </xdr:nvSpPr>
      <xdr:spPr>
        <a:xfrm>
          <a:off x="2906715" y="3575048"/>
          <a:ext cx="2636400" cy="548640"/>
        </a:xfrm>
        <a:prstGeom prst="roundRect">
          <a:avLst/>
        </a:prstGeom>
        <a:solidFill>
          <a:schemeClr val="tx2">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000" b="1"/>
            <a:t>ORDER</a:t>
          </a:r>
          <a:r>
            <a:rPr lang="en-US" sz="1200" b="1"/>
            <a:t> form</a:t>
          </a:r>
        </a:p>
      </xdr:txBody>
    </xdr:sp>
    <xdr:clientData/>
  </xdr:twoCellAnchor>
  <xdr:oneCellAnchor>
    <xdr:from>
      <xdr:col>9</xdr:col>
      <xdr:colOff>19049</xdr:colOff>
      <xdr:row>0</xdr:row>
      <xdr:rowOff>33770</xdr:rowOff>
    </xdr:from>
    <xdr:ext cx="879739" cy="1828800"/>
    <xdr:sp macro="" textlink="">
      <xdr:nvSpPr>
        <xdr:cNvPr id="10" name="Rectangle 9"/>
        <xdr:cNvSpPr/>
      </xdr:nvSpPr>
      <xdr:spPr>
        <a:xfrm>
          <a:off x="5905499" y="33770"/>
          <a:ext cx="879739" cy="1828800"/>
        </a:xfrm>
        <a:prstGeom prst="rect">
          <a:avLst/>
        </a:prstGeom>
        <a:noFill/>
      </xdr:spPr>
      <xdr:txBody>
        <a:bodyPr wrap="square" lIns="91440" tIns="45720" rIns="91440" bIns="45720">
          <a:noAutofit/>
        </a:bodyPr>
        <a:lstStyle/>
        <a:p>
          <a:pPr algn="ctr"/>
          <a:r>
            <a:rPr lang="en-US" sz="9600" b="0" cap="none" spc="0">
              <a:ln w="18415" cmpd="sng">
                <a:solidFill>
                  <a:srgbClr val="FFFFFF"/>
                </a:solidFill>
                <a:prstDash val="solid"/>
              </a:ln>
              <a:solidFill>
                <a:schemeClr val="tx2"/>
              </a:solidFill>
              <a:effectLst>
                <a:outerShdw blurRad="63500" dir="3600000" algn="tl" rotWithShape="0">
                  <a:srgbClr val="000000">
                    <a:alpha val="70000"/>
                  </a:srgbClr>
                </a:outerShdw>
              </a:effectLst>
              <a:latin typeface="+mn-lt"/>
              <a:ea typeface="Tahoma" pitchFamily="34" charset="0"/>
              <a:cs typeface="Tahoma" pitchFamily="34" charset="0"/>
            </a:rPr>
            <a:t>7</a:t>
          </a:r>
        </a:p>
      </xdr:txBody>
    </xdr:sp>
    <xdr:clientData/>
  </xdr:oneCellAnchor>
  <xdr:twoCellAnchor>
    <xdr:from>
      <xdr:col>0</xdr:col>
      <xdr:colOff>238140</xdr:colOff>
      <xdr:row>5</xdr:row>
      <xdr:rowOff>71441</xdr:rowOff>
    </xdr:from>
    <xdr:to>
      <xdr:col>4</xdr:col>
      <xdr:colOff>283740</xdr:colOff>
      <xdr:row>8</xdr:row>
      <xdr:rowOff>48581</xdr:rowOff>
    </xdr:to>
    <xdr:sp macro="" textlink="">
      <xdr:nvSpPr>
        <xdr:cNvPr id="11" name="Rounded Rectangle 10">
          <a:hlinkClick xmlns:r="http://schemas.openxmlformats.org/officeDocument/2006/relationships" r:id="rId8"/>
        </xdr:cNvPr>
        <xdr:cNvSpPr/>
      </xdr:nvSpPr>
      <xdr:spPr>
        <a:xfrm>
          <a:off x="238140" y="3576641"/>
          <a:ext cx="2636400" cy="548640"/>
        </a:xfrm>
        <a:prstGeom prst="roundRect">
          <a:avLst/>
        </a:prstGeom>
        <a:solidFill>
          <a:schemeClr val="accent6">
            <a:lumMod val="20000"/>
            <a:lumOff val="80000"/>
          </a:schemeClr>
        </a:solidFill>
        <a:effectLst>
          <a:innerShdw blurRad="63500" dist="50800" dir="2700000">
            <a:prstClr val="black">
              <a:alpha val="50000"/>
            </a:prstClr>
          </a:innerShdw>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1200" b="1"/>
            <a:t>7. Bill of </a:t>
          </a:r>
          <a:r>
            <a:rPr lang="en-US" sz="1000" b="1"/>
            <a:t>Quantities</a:t>
          </a:r>
          <a:r>
            <a:rPr lang="en-US" sz="1200" b="1"/>
            <a:t>, estimate, value of works</a:t>
          </a:r>
        </a:p>
      </xdr:txBody>
    </xdr:sp>
    <xdr:clientData/>
  </xdr:twoCellAnchor>
  <xdr:twoCellAnchor editAs="oneCell">
    <xdr:from>
      <xdr:col>10</xdr:col>
      <xdr:colOff>106989</xdr:colOff>
      <xdr:row>3</xdr:row>
      <xdr:rowOff>63499</xdr:rowOff>
    </xdr:from>
    <xdr:to>
      <xdr:col>13</xdr:col>
      <xdr:colOff>95250</xdr:colOff>
      <xdr:row>9</xdr:row>
      <xdr:rowOff>28996</xdr:rowOff>
    </xdr:to>
    <xdr:pic>
      <xdr:nvPicPr>
        <xdr:cNvPr id="13" name="Picture 12" descr="C:\Users\Zarko\Downloads\images (1).jpg"/>
        <xdr:cNvPicPr/>
      </xdr:nvPicPr>
      <xdr:blipFill>
        <a:blip xmlns:r="http://schemas.openxmlformats.org/officeDocument/2006/relationships" r:embed="rId9" cstate="print"/>
        <a:srcRect/>
        <a:stretch>
          <a:fillRect/>
        </a:stretch>
      </xdr:blipFill>
      <xdr:spPr bwMode="auto">
        <a:xfrm>
          <a:off x="6541656" y="645582"/>
          <a:ext cx="1925011" cy="695747"/>
        </a:xfrm>
        <a:prstGeom prst="rect">
          <a:avLst/>
        </a:prstGeom>
        <a:ln>
          <a:noFill/>
        </a:ln>
        <a:effectLst>
          <a:softEdge rad="112500"/>
        </a:effectLst>
      </xdr:spPr>
    </xdr:pic>
    <xdr:clientData/>
  </xdr:twoCellAnchor>
  <xdr:twoCellAnchor>
    <xdr:from>
      <xdr:col>14</xdr:col>
      <xdr:colOff>247650</xdr:colOff>
      <xdr:row>2</xdr:row>
      <xdr:rowOff>142875</xdr:rowOff>
    </xdr:from>
    <xdr:to>
      <xdr:col>18</xdr:col>
      <xdr:colOff>109970</xdr:colOff>
      <xdr:row>5</xdr:row>
      <xdr:rowOff>85725</xdr:rowOff>
    </xdr:to>
    <xdr:graphicFrame macro="">
      <xdr:nvGraphicFramePr>
        <xdr:cNvPr id="14" name="Diagram 1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 r:lo="rId11" r:qs="rId12" r:cs="rId1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oran/Documents/d.i.pmod.xls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oran/Documents/proracun%20konstrukcije%20na%20horizontalne%20uticajemod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oran/Documents/proracun%20konstrukcije%20na%20horizontalne%20uticajem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9">
          <cell r="C9">
            <v>0.9</v>
          </cell>
        </row>
        <row r="16">
          <cell r="F16">
            <v>7.875</v>
          </cell>
        </row>
        <row r="17">
          <cell r="F17">
            <v>1.875</v>
          </cell>
        </row>
        <row r="18">
          <cell r="F18">
            <v>4.5</v>
          </cell>
        </row>
        <row r="24">
          <cell r="F24">
            <v>0.4</v>
          </cell>
        </row>
        <row r="34">
          <cell r="F34">
            <v>0.5</v>
          </cell>
        </row>
        <row r="38">
          <cell r="F38">
            <v>3.77</v>
          </cell>
        </row>
        <row r="40">
          <cell r="F40">
            <v>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2">
          <cell r="J2">
            <v>0.38</v>
          </cell>
        </row>
        <row r="4">
          <cell r="O4">
            <v>1.8</v>
          </cell>
        </row>
        <row r="5">
          <cell r="J5">
            <v>0.38</v>
          </cell>
          <cell r="O5">
            <v>0.8</v>
          </cell>
        </row>
        <row r="6">
          <cell r="R6">
            <v>8.1000000000000014</v>
          </cell>
        </row>
        <row r="9">
          <cell r="H9">
            <v>6.24</v>
          </cell>
          <cell r="I9">
            <v>3.83</v>
          </cell>
        </row>
        <row r="130">
          <cell r="H130">
            <v>216.8364</v>
          </cell>
        </row>
        <row r="139">
          <cell r="C139">
            <v>66.5</v>
          </cell>
        </row>
        <row r="174">
          <cell r="C174">
            <v>3011.2443600000006</v>
          </cell>
        </row>
        <row r="183">
          <cell r="C183">
            <v>2932.6099480000003</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30">
          <cell r="H130">
            <v>212.64500000000004</v>
          </cell>
        </row>
      </sheetData>
      <sheetData sheetId="1" refreshError="1"/>
      <sheetData sheetId="2" refreshError="1"/>
    </sheetDataSet>
  </externalBook>
</externalLink>
</file>

<file path=xl/tables/table1.xml><?xml version="1.0" encoding="utf-8"?>
<table xmlns="http://schemas.openxmlformats.org/spreadsheetml/2006/main" id="8" name="Table8" displayName="Table8" ref="E12:E16" totalsRowShown="0" headerRowDxfId="66" dataDxfId="65">
  <autoFilter ref="E12:E16"/>
  <tableColumns count="1">
    <tableColumn id="1" name="P (m2)" dataDxfId="64"/>
  </tableColumns>
  <tableStyleInfo name="TableStyleMedium9" showFirstColumn="0" showLastColumn="0" showRowStripes="1" showColumnStripes="0"/>
</table>
</file>

<file path=xl/tables/table10.xml><?xml version="1.0" encoding="utf-8"?>
<table xmlns="http://schemas.openxmlformats.org/spreadsheetml/2006/main" id="7" name="Table7" displayName="Table7" ref="C10:D12" totalsRowShown="0" headerRowDxfId="39" dataDxfId="38">
  <autoFilter ref="C10:D12"/>
  <tableColumns count="2">
    <tableColumn id="1" name="dampers" dataDxfId="37">
      <calculatedColumnFormula>SUM(H16+H19+H22+Q13+Q17+Q21)</calculatedColumnFormula>
    </tableColumn>
    <tableColumn id="2" name="total" dataDxfId="36">
      <calculatedColumnFormula>SUM(Table21[[#This Row],[S€]]+'7Bill'!H13+'7Bill'!H14+'7Bill'!H15+'7Bill'!H19+'7Bill'!H21+'7Bill'!H22+Table212324[[#This Row],[S€]]+'7Bill'!Q15+Table24[S€]+Table2426[S€])</calculatedColumnFormula>
    </tableColumn>
  </tableColumns>
  <tableStyleInfo name="TableStyleMedium9" showFirstColumn="0" showLastColumn="0" showRowStripes="1" showColumnStripes="0"/>
</table>
</file>

<file path=xl/tables/table11.xml><?xml version="1.0" encoding="utf-8"?>
<table xmlns="http://schemas.openxmlformats.org/spreadsheetml/2006/main" id="18" name="Table18" displayName="Table18" ref="F14:H23" totalsRowShown="0" headerRowDxfId="35">
  <autoFilter ref="F14:H23"/>
  <tableColumns count="3">
    <tableColumn id="1" name="pieces" dataDxfId="34">
      <calculatedColumnFormula>Sheet2!C41</calculatedColumnFormula>
    </tableColumn>
    <tableColumn id="2" name="€" dataDxfId="33">
      <calculatedColumnFormula>Sheet2!D41</calculatedColumnFormula>
    </tableColumn>
    <tableColumn id="3" name="S€" dataDxfId="32">
      <calculatedColumnFormula>Table18[[#This Row],[pieces]]*Table18[[#This Row],[€]]</calculatedColumnFormula>
    </tableColumn>
  </tableColumns>
  <tableStyleInfo name="TableStyleMedium9" showFirstColumn="0" showLastColumn="0" showRowStripes="1" showColumnStripes="0"/>
</table>
</file>

<file path=xl/tables/table12.xml><?xml version="1.0" encoding="utf-8"?>
<table xmlns="http://schemas.openxmlformats.org/spreadsheetml/2006/main" id="20" name="Table1821" displayName="Table1821" ref="O10:Q19" totalsRowShown="0" headerRowDxfId="31">
  <autoFilter ref="O10:Q19"/>
  <tableColumns count="3">
    <tableColumn id="1" name="pieces" dataDxfId="30">
      <calculatedColumnFormula>Sheet2!L38</calculatedColumnFormula>
    </tableColumn>
    <tableColumn id="2" name="€" dataDxfId="29">
      <calculatedColumnFormula>Sheet2!M38</calculatedColumnFormula>
    </tableColumn>
    <tableColumn id="3" name="S€" dataDxfId="28">
      <calculatedColumnFormula>Table1821[[#This Row],[pieces]]*Table1821[[#This Row],[€]]</calculatedColumnFormula>
    </tableColumn>
  </tableColumns>
  <tableStyleInfo name="TableStyleMedium9" showFirstColumn="0" showLastColumn="0" showRowStripes="1" showColumnStripes="0"/>
</table>
</file>

<file path=xl/tables/table13.xml><?xml version="1.0" encoding="utf-8"?>
<table xmlns="http://schemas.openxmlformats.org/spreadsheetml/2006/main" id="21" name="Table21" displayName="Table21" ref="F10:H15" totalsRowShown="0" dataDxfId="27">
  <autoFilter ref="F10:H15"/>
  <tableColumns count="3">
    <tableColumn id="1" name="kg" dataDxfId="26"/>
    <tableColumn id="2" name="€" dataDxfId="25"/>
    <tableColumn id="3" name="S€" dataDxfId="24"/>
  </tableColumns>
  <tableStyleInfo name="TableStyleMedium9" showFirstColumn="0" showLastColumn="0" showRowStripes="1" showColumnStripes="0"/>
</table>
</file>

<file path=xl/tables/table14.xml><?xml version="1.0" encoding="utf-8"?>
<table xmlns="http://schemas.openxmlformats.org/spreadsheetml/2006/main" id="22" name="Table2123" displayName="Table2123" ref="F17:H22" totalsRowShown="0" dataDxfId="23">
  <autoFilter ref="F17:H22"/>
  <tableColumns count="3">
    <tableColumn id="1" name="m1" dataDxfId="22"/>
    <tableColumn id="2" name="€" dataDxfId="21"/>
    <tableColumn id="3" name="S€" dataDxfId="20"/>
  </tableColumns>
  <tableStyleInfo name="TableStyleMedium9" showFirstColumn="0" showLastColumn="0" showRowStripes="1" showColumnStripes="0"/>
</table>
</file>

<file path=xl/tables/table15.xml><?xml version="1.0" encoding="utf-8"?>
<table xmlns="http://schemas.openxmlformats.org/spreadsheetml/2006/main" id="23" name="Table212324" displayName="Table212324" ref="O10:Q13" totalsRowShown="0" dataDxfId="19">
  <autoFilter ref="O10:Q13"/>
  <tableColumns count="3">
    <tableColumn id="1" name="m2" dataDxfId="18"/>
    <tableColumn id="2" name="€" dataDxfId="17"/>
    <tableColumn id="3" name="S€" dataDxfId="16"/>
  </tableColumns>
  <tableStyleInfo name="TableStyleMedium9" showFirstColumn="0" showLastColumn="0" showRowStripes="1" showColumnStripes="0"/>
</table>
</file>

<file path=xl/tables/table16.xml><?xml version="1.0" encoding="utf-8"?>
<table xmlns="http://schemas.openxmlformats.org/spreadsheetml/2006/main" id="24" name="Table24" displayName="Table24" ref="O17:Q18" totalsRowShown="0" dataDxfId="15">
  <autoFilter ref="O17:Q18"/>
  <tableColumns count="3">
    <tableColumn id="1" name="m3" dataDxfId="14"/>
    <tableColumn id="2" name="€" dataDxfId="13"/>
    <tableColumn id="3" name="S€" dataDxfId="12">
      <calculatedColumnFormula>SUM(Table24[m3]*Table24[€])</calculatedColumnFormula>
    </tableColumn>
  </tableColumns>
  <tableStyleInfo name="TableStyleMedium9" showFirstColumn="0" showLastColumn="0" showRowStripes="1" showColumnStripes="0"/>
</table>
</file>

<file path=xl/tables/table17.xml><?xml version="1.0" encoding="utf-8"?>
<table xmlns="http://schemas.openxmlformats.org/spreadsheetml/2006/main" id="25" name="Table2426" displayName="Table2426" ref="O20:Q21" totalsRowShown="0" dataDxfId="11">
  <autoFilter ref="O20:Q21"/>
  <tableColumns count="3">
    <tableColumn id="1" name="l" dataDxfId="10"/>
    <tableColumn id="2" name="€" dataDxfId="9"/>
    <tableColumn id="3" name="S€" dataDxfId="8">
      <calculatedColumnFormula>SUM(Table2426[l]*Table2426[€])</calculatedColumnFormula>
    </tableColumn>
  </tableColumns>
  <tableStyleInfo name="TableStyleMedium9" showFirstColumn="0" showLastColumn="0" showRowStripes="1" showColumnStripes="0"/>
</table>
</file>

<file path=xl/tables/table18.xml><?xml version="1.0" encoding="utf-8"?>
<table xmlns="http://schemas.openxmlformats.org/spreadsheetml/2006/main" id="1" name="Table24262" displayName="Table24262" ref="O24:Q25" totalsRowShown="0" dataDxfId="7">
  <autoFilter ref="O24:Q25"/>
  <tableColumns count="3">
    <tableColumn id="1" name="-" dataDxfId="6"/>
    <tableColumn id="2" name="€" dataDxfId="5"/>
    <tableColumn id="3" name="S€" dataDxfId="4">
      <calculatedColumnFormula>SUM(Table24262[-]*Table24262[€])</calculatedColumnFormula>
    </tableColumn>
  </tableColumns>
  <tableStyleInfo name="TableStyleMedium9" showFirstColumn="0" showLastColumn="0" showRowStripes="1" showColumnStripes="0"/>
</table>
</file>

<file path=xl/tables/table19.xml><?xml version="1.0" encoding="utf-8"?>
<table xmlns="http://schemas.openxmlformats.org/spreadsheetml/2006/main" id="12" name="Table242613" displayName="Table242613" ref="F24:H25" totalsRowShown="0" dataDxfId="3">
  <autoFilter ref="F24:H25"/>
  <tableColumns count="3">
    <tableColumn id="1" name="-" dataDxfId="2"/>
    <tableColumn id="2" name="€" dataDxfId="1"/>
    <tableColumn id="3" name="S€" dataDxfId="0">
      <calculatedColumnFormula>SUM(Table242613[-]*Table242613[€])</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9" name="Table9" displayName="Table9" ref="E18:E19" totalsRowShown="0" headerRowDxfId="63" dataDxfId="62">
  <autoFilter ref="E18:E19"/>
  <tableColumns count="1">
    <tableColumn id="1" name="L (m1)" dataDxfId="61"/>
  </tableColumns>
  <tableStyleInfo name="TableStyleMedium9" showFirstColumn="0" showLastColumn="0" showRowStripes="1" showColumnStripes="0"/>
</table>
</file>

<file path=xl/tables/table3.xml><?xml version="1.0" encoding="utf-8"?>
<table xmlns="http://schemas.openxmlformats.org/spreadsheetml/2006/main" id="11" name="Table11" displayName="Table11" ref="I15:I16" totalsRowShown="0" dataDxfId="60">
  <autoFilter ref="I15:I16"/>
  <tableColumns count="1">
    <tableColumn id="1" name="number" dataDxfId="59">
      <calculatedColumnFormula>SUM(Sheet2!K5:K7)</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10" name="Table10" displayName="Table10" ref="E13:E17" totalsRowShown="0" headerRowDxfId="58" dataDxfId="57">
  <autoFilter ref="E13:E17"/>
  <tableColumns count="1">
    <tableColumn id="1" name="(m1)" dataDxfId="56"/>
  </tableColumns>
  <tableStyleInfo name="TableStyleMedium9" showFirstColumn="0" showLastColumn="0" showRowStripes="1" showColumnStripes="0"/>
</table>
</file>

<file path=xl/tables/table5.xml><?xml version="1.0" encoding="utf-8"?>
<table xmlns="http://schemas.openxmlformats.org/spreadsheetml/2006/main" id="2" name="Table2" displayName="Table2" ref="C15:C16" totalsRowShown="0" headerRowDxfId="55" dataDxfId="54">
  <autoFilter ref="C15:C16"/>
  <tableColumns count="1">
    <tableColumn id="1" name="PLASTER" dataDxfId="53"/>
  </tableColumns>
  <tableStyleInfo name="TableStyleMedium9" showFirstColumn="0" showLastColumn="0" showRowStripes="1" showColumnStripes="0"/>
</table>
</file>

<file path=xl/tables/table6.xml><?xml version="1.0" encoding="utf-8"?>
<table xmlns="http://schemas.openxmlformats.org/spreadsheetml/2006/main" id="3" name="Table3" displayName="Table3" ref="E15:G16" totalsRowShown="0" dataDxfId="52">
  <autoFilter ref="E15:G16"/>
  <tableColumns count="3">
    <tableColumn id="1" name="BAD" dataDxfId="51"/>
    <tableColumn id="2" name="MIDDLE" dataDxfId="50"/>
    <tableColumn id="3" name="GOOD" dataDxfId="49"/>
  </tableColumns>
  <tableStyleInfo name="TableStyleMedium9" showFirstColumn="0" showLastColumn="0" showRowStripes="1" showColumnStripes="0"/>
</table>
</file>

<file path=xl/tables/table7.xml><?xml version="1.0" encoding="utf-8"?>
<table xmlns="http://schemas.openxmlformats.org/spreadsheetml/2006/main" id="4" name="Table25" displayName="Table25" ref="C13:C14" totalsRowShown="0" headerRowDxfId="48" dataDxfId="47">
  <autoFilter ref="C13:C14"/>
  <tableColumns count="1">
    <tableColumn id="1" name="Weight flor slabs " dataDxfId="46"/>
  </tableColumns>
  <tableStyleInfo name="TableStyleMedium9" showFirstColumn="0" showLastColumn="0" showRowStripes="1" showColumnStripes="0"/>
</table>
</file>

<file path=xl/tables/table8.xml><?xml version="1.0" encoding="utf-8"?>
<table xmlns="http://schemas.openxmlformats.org/spreadsheetml/2006/main" id="5" name="Table36" displayName="Table36" ref="E13:G14" totalsRowShown="0" dataDxfId="45">
  <autoFilter ref="E13:G14"/>
  <tableColumns count="3">
    <tableColumn id="1" name="3,00 kN/m2" dataDxfId="44"/>
    <tableColumn id="2" name="4,00 kN/m2" dataDxfId="43"/>
    <tableColumn id="3" name="or other weight" dataDxfId="42"/>
  </tableColumns>
  <tableStyleInfo name="TableStyleMedium9" showFirstColumn="0" showLastColumn="0" showRowStripes="1" showColumnStripes="0"/>
</table>
</file>

<file path=xl/tables/table9.xml><?xml version="1.0" encoding="utf-8"?>
<table xmlns="http://schemas.openxmlformats.org/spreadsheetml/2006/main" id="6" name="Table6" displayName="Table6" ref="C14:C15" totalsRowShown="0" dataDxfId="41">
  <autoFilter ref="C14:C15"/>
  <tableColumns count="1">
    <tableColumn id="2" name="ag" dataDxfId="4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CEPTUAL%20DESIGN.pdf" TargetMode="External"/><Relationship Id="rId7" Type="http://schemas.openxmlformats.org/officeDocument/2006/relationships/image" Target="../media/image1.jpeg"/><Relationship Id="rId2" Type="http://schemas.openxmlformats.org/officeDocument/2006/relationships/hyperlink" Target="CONCEPTUAL%20DESIGN%20_1_.pdf" TargetMode="External"/><Relationship Id="rId1" Type="http://schemas.openxmlformats.org/officeDocument/2006/relationships/hyperlink" Target="tel:+381%2011%20852%206655,%20Fax:+381%2011%20852%206663"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instructions%20for%20execution%20of%20works.pdf" TargetMode="External"/></Relationships>
</file>

<file path=xl/worksheets/_rels/sheet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tel:+381%2011%20852%206655,%20Fax:+381%2011%20852%206663" TargetMode="External"/><Relationship Id="rId4" Type="http://schemas.openxmlformats.org/officeDocument/2006/relationships/image" Target="../media/image1.jpeg"/></Relationships>
</file>

<file path=xl/worksheets/_rels/sheet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9.xml"/></Relationships>
</file>

<file path=xl/worksheets/_rels/sheet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image" Target="../media/image1.jpeg"/><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10" Type="http://schemas.openxmlformats.org/officeDocument/2006/relationships/table" Target="../tables/table19.xml"/><Relationship Id="rId4" Type="http://schemas.openxmlformats.org/officeDocument/2006/relationships/table" Target="../tables/table13.xml"/><Relationship Id="rId9"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zoomScale="90" zoomScaleNormal="90" workbookViewId="0">
      <pane ySplit="27" topLeftCell="A40" activePane="bottomLeft" state="frozen"/>
      <selection pane="bottomLeft" activeCell="I18" sqref="I18"/>
    </sheetView>
  </sheetViews>
  <sheetFormatPr defaultRowHeight="15" x14ac:dyDescent="0.25"/>
  <cols>
    <col min="7" max="8" width="11" customWidth="1"/>
    <col min="9" max="9" width="8.85546875" customWidth="1"/>
  </cols>
  <sheetData>
    <row r="1" spans="1:18" ht="7.5" customHeight="1" x14ac:dyDescent="0.25">
      <c r="A1" s="257" t="s">
        <v>0</v>
      </c>
      <c r="B1" s="257"/>
      <c r="C1" s="257"/>
      <c r="D1" s="257"/>
      <c r="E1" s="257"/>
      <c r="F1" s="257"/>
      <c r="G1" s="257"/>
      <c r="H1" s="257"/>
      <c r="I1" s="257"/>
    </row>
    <row r="2" spans="1:18" ht="12.75" customHeight="1" thickBot="1" x14ac:dyDescent="0.3">
      <c r="A2" s="257"/>
      <c r="B2" s="257"/>
      <c r="C2" s="257"/>
      <c r="D2" s="257"/>
      <c r="E2" s="257"/>
      <c r="F2" s="257"/>
      <c r="G2" s="257"/>
      <c r="H2" s="257"/>
      <c r="I2" s="257"/>
      <c r="Q2" s="253">
        <v>42890</v>
      </c>
      <c r="R2" s="253"/>
    </row>
    <row r="3" spans="1:18" ht="14.25" customHeight="1" thickTop="1" thickBot="1" x14ac:dyDescent="0.3">
      <c r="A3" s="249" t="s">
        <v>90</v>
      </c>
      <c r="B3" s="249"/>
      <c r="C3" s="249"/>
      <c r="D3" s="249"/>
      <c r="E3" s="249"/>
      <c r="F3" s="249"/>
      <c r="G3" s="249"/>
      <c r="H3" s="249"/>
      <c r="I3" s="249"/>
      <c r="K3" s="224" t="s">
        <v>247</v>
      </c>
      <c r="L3" s="225"/>
      <c r="M3" s="225"/>
      <c r="N3" s="225"/>
      <c r="O3" s="226"/>
      <c r="Q3" s="253"/>
      <c r="R3" s="253"/>
    </row>
    <row r="4" spans="1:18" ht="13.5" customHeight="1" thickTop="1" thickBot="1" x14ac:dyDescent="0.3">
      <c r="A4" s="258" t="s">
        <v>154</v>
      </c>
      <c r="B4" s="258"/>
      <c r="C4" s="258"/>
      <c r="D4" s="258"/>
      <c r="E4" s="258"/>
      <c r="F4" s="258"/>
      <c r="G4" s="258"/>
      <c r="H4" s="258"/>
      <c r="I4" s="258"/>
    </row>
    <row r="5" spans="1:18" ht="14.25" customHeight="1" thickTop="1" thickBot="1" x14ac:dyDescent="0.3">
      <c r="A5" s="258"/>
      <c r="B5" s="258"/>
      <c r="C5" s="258"/>
      <c r="D5" s="258"/>
      <c r="E5" s="258"/>
      <c r="F5" s="258"/>
      <c r="G5" s="258"/>
      <c r="H5" s="258"/>
      <c r="I5" s="258"/>
      <c r="K5" s="250" t="s">
        <v>248</v>
      </c>
      <c r="L5" s="251"/>
      <c r="M5" s="251"/>
      <c r="N5" s="251"/>
      <c r="O5" s="252"/>
    </row>
    <row r="6" spans="1:18" ht="16.5" thickTop="1" thickBot="1" x14ac:dyDescent="0.3">
      <c r="A6" s="259" t="s">
        <v>91</v>
      </c>
      <c r="B6" s="259"/>
      <c r="C6" s="259"/>
      <c r="D6" s="259"/>
      <c r="E6" s="259"/>
      <c r="F6" s="259"/>
      <c r="G6" s="259"/>
      <c r="H6" s="259"/>
      <c r="I6" s="259"/>
    </row>
    <row r="7" spans="1:18" ht="27.75" customHeight="1" thickTop="1" thickBot="1" x14ac:dyDescent="0.3">
      <c r="A7" s="235" t="s">
        <v>92</v>
      </c>
      <c r="B7" s="235"/>
      <c r="C7" s="235"/>
      <c r="D7" s="235"/>
      <c r="E7" s="235"/>
      <c r="F7" s="235"/>
      <c r="G7" s="235"/>
      <c r="H7" s="235"/>
      <c r="I7" s="235"/>
      <c r="K7" s="254" t="s">
        <v>268</v>
      </c>
      <c r="L7" s="255"/>
      <c r="M7" s="255"/>
      <c r="N7" s="255"/>
      <c r="O7" s="256"/>
    </row>
    <row r="8" spans="1:18" ht="27.75" customHeight="1" thickTop="1" thickBot="1" x14ac:dyDescent="0.3">
      <c r="A8" s="236" t="s">
        <v>93</v>
      </c>
      <c r="B8" s="236"/>
      <c r="C8" s="236"/>
      <c r="D8" s="236"/>
      <c r="E8" s="236"/>
      <c r="F8" s="236"/>
      <c r="G8" s="236"/>
      <c r="H8" s="236"/>
      <c r="I8" s="236"/>
    </row>
    <row r="9" spans="1:18" ht="14.25" customHeight="1" thickTop="1" thickBot="1" x14ac:dyDescent="0.3">
      <c r="A9" s="237" t="s">
        <v>94</v>
      </c>
      <c r="B9" s="237"/>
      <c r="C9" s="237"/>
      <c r="D9" s="237"/>
      <c r="E9" s="237"/>
      <c r="F9" s="237"/>
      <c r="G9" s="237"/>
      <c r="H9" s="237"/>
      <c r="I9" s="237"/>
      <c r="K9" s="240" t="s">
        <v>269</v>
      </c>
      <c r="L9" s="241"/>
      <c r="M9" s="241"/>
      <c r="N9" s="241"/>
      <c r="O9" s="242"/>
    </row>
    <row r="10" spans="1:18" ht="3" customHeight="1" thickTop="1" thickBot="1" x14ac:dyDescent="0.3">
      <c r="K10" s="243"/>
      <c r="L10" s="244"/>
      <c r="M10" s="244"/>
      <c r="N10" s="244"/>
      <c r="O10" s="245"/>
    </row>
    <row r="11" spans="1:18" ht="15.75" thickTop="1" x14ac:dyDescent="0.25">
      <c r="A11" s="238" t="s">
        <v>81</v>
      </c>
      <c r="B11" s="238"/>
      <c r="C11" s="238"/>
      <c r="D11" s="238"/>
      <c r="E11" s="238"/>
      <c r="F11" s="219" t="s">
        <v>54</v>
      </c>
      <c r="G11" s="220">
        <f>SUM(Sheet2!C65)</f>
        <v>15221.25</v>
      </c>
    </row>
    <row r="12" spans="1:18" ht="15" customHeight="1" x14ac:dyDescent="0.25">
      <c r="A12" s="239" t="s">
        <v>82</v>
      </c>
      <c r="B12" s="239"/>
      <c r="C12" s="239"/>
      <c r="D12" s="239"/>
      <c r="E12" s="239"/>
      <c r="F12" s="246" t="s">
        <v>54</v>
      </c>
      <c r="G12" s="248">
        <f>SUM(Sheet2!C66)</f>
        <v>30442.5</v>
      </c>
    </row>
    <row r="13" spans="1:18" x14ac:dyDescent="0.25">
      <c r="A13" s="239"/>
      <c r="B13" s="239"/>
      <c r="C13" s="239"/>
      <c r="D13" s="239"/>
      <c r="E13" s="239"/>
      <c r="F13" s="247"/>
      <c r="G13" s="247"/>
    </row>
    <row r="14" spans="1:18" ht="6" customHeight="1" x14ac:dyDescent="0.25">
      <c r="A14" s="239"/>
      <c r="B14" s="239"/>
      <c r="C14" s="239"/>
      <c r="D14" s="239"/>
      <c r="E14" s="239"/>
      <c r="F14" s="247"/>
      <c r="G14" s="247"/>
    </row>
    <row r="15" spans="1:18" ht="15" customHeight="1" x14ac:dyDescent="0.25">
      <c r="A15" s="227" t="s">
        <v>83</v>
      </c>
      <c r="B15" s="227"/>
      <c r="C15" s="227"/>
      <c r="D15" s="227"/>
      <c r="E15" s="227"/>
      <c r="F15" s="228" t="s">
        <v>54</v>
      </c>
      <c r="G15" s="230">
        <f>SUM(Sheet2!C67)</f>
        <v>2536.875</v>
      </c>
    </row>
    <row r="16" spans="1:18" ht="15.75" x14ac:dyDescent="0.25">
      <c r="A16" s="227"/>
      <c r="B16" s="227"/>
      <c r="C16" s="227"/>
      <c r="D16" s="227"/>
      <c r="E16" s="227"/>
      <c r="F16" s="229"/>
      <c r="G16" s="229"/>
      <c r="H16" s="2"/>
      <c r="I16" s="93"/>
    </row>
    <row r="17" spans="1:9" ht="3.75" customHeight="1" x14ac:dyDescent="0.25">
      <c r="A17" s="227"/>
      <c r="B17" s="227"/>
      <c r="C17" s="227"/>
      <c r="D17" s="227"/>
      <c r="E17" s="227"/>
      <c r="F17" s="229"/>
      <c r="G17" s="229"/>
      <c r="H17" s="94"/>
      <c r="I17" s="96"/>
    </row>
    <row r="18" spans="1:9" ht="15.75" x14ac:dyDescent="0.25">
      <c r="A18" s="231" t="s">
        <v>84</v>
      </c>
      <c r="B18" s="231"/>
      <c r="C18" s="231"/>
      <c r="D18" s="231"/>
      <c r="E18" s="231"/>
      <c r="F18" s="232" t="s">
        <v>54</v>
      </c>
      <c r="G18" s="234">
        <f>SUM(Sheet2!C68)</f>
        <v>2536.875</v>
      </c>
      <c r="H18" s="92"/>
      <c r="I18" s="96"/>
    </row>
    <row r="19" spans="1:9" ht="18" customHeight="1" x14ac:dyDescent="0.25">
      <c r="A19" s="231"/>
      <c r="B19" s="231"/>
      <c r="C19" s="231"/>
      <c r="D19" s="231"/>
      <c r="E19" s="231"/>
      <c r="F19" s="233"/>
      <c r="G19" s="233"/>
    </row>
    <row r="20" spans="1:9" ht="1.5" customHeight="1" x14ac:dyDescent="0.25">
      <c r="A20" s="231"/>
      <c r="B20" s="231"/>
      <c r="C20" s="231"/>
      <c r="D20" s="231"/>
      <c r="E20" s="231"/>
      <c r="F20" s="233"/>
      <c r="G20" s="233"/>
    </row>
    <row r="21" spans="1:9" x14ac:dyDescent="0.25">
      <c r="A21" s="223" t="s">
        <v>86</v>
      </c>
      <c r="B21" s="223"/>
      <c r="C21" s="223"/>
      <c r="D21" s="223"/>
      <c r="E21" s="223"/>
      <c r="F21" s="221" t="s">
        <v>54</v>
      </c>
      <c r="G21" s="222">
        <f>SUM(Sheet2!C69)</f>
        <v>50737.5</v>
      </c>
    </row>
  </sheetData>
  <sheetProtection password="CEE9" sheet="1" objects="1" scenarios="1"/>
  <mergeCells count="23">
    <mergeCell ref="A3:I3"/>
    <mergeCell ref="K5:O5"/>
    <mergeCell ref="Q2:R3"/>
    <mergeCell ref="K7:O7"/>
    <mergeCell ref="A1:I2"/>
    <mergeCell ref="A4:I5"/>
    <mergeCell ref="A6:I6"/>
    <mergeCell ref="A21:E21"/>
    <mergeCell ref="K3:O3"/>
    <mergeCell ref="A15:E17"/>
    <mergeCell ref="F15:F17"/>
    <mergeCell ref="G15:G17"/>
    <mergeCell ref="A18:E20"/>
    <mergeCell ref="F18:F20"/>
    <mergeCell ref="G18:G20"/>
    <mergeCell ref="A7:I7"/>
    <mergeCell ref="A8:I8"/>
    <mergeCell ref="A9:I9"/>
    <mergeCell ref="A11:E11"/>
    <mergeCell ref="A12:E14"/>
    <mergeCell ref="K9:O10"/>
    <mergeCell ref="F12:F14"/>
    <mergeCell ref="G12:G14"/>
  </mergeCells>
  <hyperlinks>
    <hyperlink ref="A6" r:id="rId1" display="Tel:+381 11 852 6655, Fax:+381 11 852 6663"/>
    <hyperlink ref="K3" r:id="rId2" display="CONCEPTUAL DESIGN _1_.pdf"/>
    <hyperlink ref="K3:O3" r:id="rId3" display="CONCEPTUAL DESIGN.pdf"/>
    <hyperlink ref="K5:O5" r:id="rId4" display="INSTRUCTIONS FOR EXECUTION OF WORKS.pdf"/>
  </hyperlinks>
  <pageMargins left="0.7" right="0.7" top="0.75" bottom="0.75" header="0.3" footer="0.3"/>
  <pageSetup orientation="portrait" r:id="rId5"/>
  <drawing r:id="rId6"/>
  <pictur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workbookViewId="0">
      <selection activeCell="G61" sqref="G61"/>
    </sheetView>
  </sheetViews>
  <sheetFormatPr defaultRowHeight="15" x14ac:dyDescent="0.25"/>
  <cols>
    <col min="1" max="9" width="9.140625" style="101"/>
    <col min="10" max="10" width="7.42578125" style="101" customWidth="1"/>
    <col min="11" max="11" width="12.42578125" style="101" customWidth="1"/>
    <col min="12" max="14" width="10.7109375" style="101" customWidth="1"/>
    <col min="15" max="15" width="14.140625" style="101" customWidth="1"/>
    <col min="16" max="16" width="9.140625" style="101"/>
  </cols>
  <sheetData>
    <row r="1" spans="1:36" ht="17.25" customHeight="1" x14ac:dyDescent="0.25">
      <c r="A1" s="285" t="s">
        <v>97</v>
      </c>
      <c r="B1" s="285"/>
      <c r="C1" s="285"/>
      <c r="D1" s="285"/>
      <c r="E1" s="285"/>
      <c r="F1" s="285"/>
      <c r="G1" s="285"/>
      <c r="H1" s="285"/>
      <c r="I1" s="285"/>
      <c r="P1" s="102"/>
      <c r="Q1" s="88"/>
      <c r="R1" s="88"/>
      <c r="S1" s="88"/>
      <c r="T1" s="88"/>
      <c r="U1" s="88"/>
      <c r="V1" s="88"/>
      <c r="W1" s="88"/>
      <c r="X1" s="88"/>
      <c r="Y1" s="88"/>
      <c r="Z1" s="88"/>
      <c r="AA1" s="88"/>
      <c r="AB1" s="88"/>
      <c r="AC1" s="88"/>
      <c r="AD1" s="88"/>
      <c r="AE1" s="88"/>
      <c r="AF1" s="88"/>
      <c r="AG1" s="88"/>
      <c r="AH1" s="88"/>
      <c r="AI1" s="88"/>
      <c r="AJ1" s="88"/>
    </row>
    <row r="2" spans="1:36" ht="15.75" x14ac:dyDescent="0.25">
      <c r="A2" s="103"/>
      <c r="B2" s="104"/>
      <c r="C2" s="104"/>
      <c r="D2" s="104"/>
      <c r="E2" s="104"/>
      <c r="F2" s="104"/>
      <c r="G2" s="104"/>
      <c r="H2" s="104"/>
      <c r="I2" s="104"/>
      <c r="J2" s="142"/>
      <c r="K2" s="142"/>
      <c r="L2" s="142"/>
      <c r="M2" s="142"/>
      <c r="N2" s="142"/>
      <c r="O2" s="142"/>
      <c r="P2" s="143"/>
      <c r="Q2" s="144"/>
      <c r="R2" s="88"/>
      <c r="S2" s="88"/>
      <c r="T2" s="88"/>
      <c r="AD2" s="88"/>
      <c r="AE2" s="88"/>
      <c r="AF2" s="88"/>
      <c r="AG2" s="88"/>
      <c r="AH2" s="88"/>
      <c r="AI2" s="88"/>
      <c r="AJ2" s="88"/>
    </row>
    <row r="3" spans="1:36" ht="15.75" customHeight="1" x14ac:dyDescent="0.25">
      <c r="A3" s="286" t="s">
        <v>109</v>
      </c>
      <c r="B3" s="286"/>
      <c r="C3" s="286"/>
      <c r="D3" s="286"/>
      <c r="E3" s="286"/>
      <c r="F3" s="286"/>
      <c r="G3" s="286"/>
      <c r="H3" s="286"/>
      <c r="I3" s="286"/>
      <c r="J3" s="142"/>
      <c r="K3" s="142"/>
      <c r="L3" s="142"/>
      <c r="M3" s="142"/>
      <c r="N3" s="142"/>
      <c r="O3" s="142"/>
      <c r="P3" s="142"/>
      <c r="Q3" s="12"/>
      <c r="T3" s="88"/>
      <c r="AD3" s="88"/>
      <c r="AE3" s="88"/>
      <c r="AF3" s="88"/>
      <c r="AG3" s="88"/>
      <c r="AH3" s="88"/>
      <c r="AI3" s="88"/>
      <c r="AJ3" s="88"/>
    </row>
    <row r="4" spans="1:36" ht="15.75" customHeight="1" x14ac:dyDescent="0.25">
      <c r="A4" s="107"/>
      <c r="B4" s="108"/>
      <c r="C4" s="108"/>
      <c r="D4" s="108"/>
      <c r="E4" s="108"/>
      <c r="F4" s="108"/>
      <c r="G4" s="108"/>
      <c r="H4" s="108"/>
      <c r="I4" s="108"/>
      <c r="J4" s="287" t="s">
        <v>117</v>
      </c>
      <c r="K4" s="287"/>
      <c r="L4" s="287"/>
      <c r="M4" s="287"/>
      <c r="N4" s="287"/>
      <c r="O4" s="287"/>
      <c r="P4" s="287"/>
      <c r="Q4" s="287"/>
      <c r="R4" s="137"/>
      <c r="T4" s="88"/>
      <c r="AD4" s="88"/>
      <c r="AE4" s="88"/>
      <c r="AF4" s="88"/>
      <c r="AG4" s="88"/>
      <c r="AH4" s="88"/>
      <c r="AI4" s="88"/>
      <c r="AJ4" s="88"/>
    </row>
    <row r="5" spans="1:36" ht="15" customHeight="1" x14ac:dyDescent="0.25">
      <c r="A5" s="286" t="s">
        <v>98</v>
      </c>
      <c r="B5" s="286"/>
      <c r="C5" s="286"/>
      <c r="D5" s="286"/>
      <c r="E5" s="286"/>
      <c r="F5" s="286"/>
      <c r="G5" s="286"/>
      <c r="H5" s="286"/>
      <c r="I5" s="286"/>
      <c r="J5" s="288" t="s">
        <v>118</v>
      </c>
      <c r="K5" s="288"/>
      <c r="L5" s="288"/>
      <c r="M5" s="288"/>
      <c r="N5" s="288"/>
      <c r="O5" s="288"/>
      <c r="P5" s="288"/>
      <c r="Q5" s="288"/>
      <c r="R5" s="138"/>
      <c r="T5" s="88"/>
      <c r="AD5" s="88"/>
      <c r="AE5" s="88"/>
      <c r="AF5" s="88"/>
      <c r="AG5" s="88"/>
      <c r="AH5" s="88"/>
      <c r="AI5" s="88"/>
      <c r="AJ5" s="88"/>
    </row>
    <row r="6" spans="1:36" ht="15" customHeight="1" x14ac:dyDescent="0.25">
      <c r="A6" s="286" t="s">
        <v>99</v>
      </c>
      <c r="B6" s="286"/>
      <c r="C6" s="286"/>
      <c r="D6" s="286"/>
      <c r="E6" s="286"/>
      <c r="F6" s="286"/>
      <c r="G6" s="286"/>
      <c r="H6" s="286"/>
      <c r="I6" s="286"/>
      <c r="J6" s="288" t="s">
        <v>119</v>
      </c>
      <c r="K6" s="288"/>
      <c r="L6" s="288"/>
      <c r="M6" s="288"/>
      <c r="N6" s="288"/>
      <c r="O6" s="288"/>
      <c r="P6" s="288"/>
      <c r="Q6" s="288"/>
      <c r="R6" s="138"/>
      <c r="T6" s="88"/>
      <c r="AD6" s="88"/>
      <c r="AE6" s="88"/>
      <c r="AF6" s="88"/>
      <c r="AG6" s="88"/>
      <c r="AH6" s="88"/>
      <c r="AI6" s="88"/>
      <c r="AJ6" s="88"/>
    </row>
    <row r="7" spans="1:36" ht="15" customHeight="1" x14ac:dyDescent="0.25">
      <c r="A7" s="286" t="s">
        <v>100</v>
      </c>
      <c r="B7" s="286"/>
      <c r="C7" s="286"/>
      <c r="D7" s="286"/>
      <c r="E7" s="286"/>
      <c r="F7" s="286"/>
      <c r="G7" s="286"/>
      <c r="H7" s="286"/>
      <c r="I7" s="286"/>
      <c r="J7" s="288" t="s">
        <v>120</v>
      </c>
      <c r="K7" s="288"/>
      <c r="L7" s="288"/>
      <c r="M7" s="288"/>
      <c r="N7" s="288"/>
      <c r="O7" s="288"/>
      <c r="P7" s="288"/>
      <c r="Q7" s="288"/>
      <c r="R7" s="138"/>
      <c r="T7" s="88"/>
      <c r="AD7" s="88"/>
      <c r="AE7" s="88"/>
      <c r="AF7" s="88"/>
      <c r="AG7" s="88"/>
      <c r="AH7" s="88"/>
      <c r="AI7" s="88"/>
      <c r="AJ7" s="88"/>
    </row>
    <row r="8" spans="1:36" ht="15" customHeight="1" x14ac:dyDescent="0.25">
      <c r="A8" s="286" t="s">
        <v>174</v>
      </c>
      <c r="B8" s="286"/>
      <c r="C8" s="286"/>
      <c r="D8" s="286"/>
      <c r="E8" s="286"/>
      <c r="F8" s="286"/>
      <c r="G8" s="286"/>
      <c r="H8" s="286"/>
      <c r="I8" s="286"/>
      <c r="J8" s="291" t="s">
        <v>121</v>
      </c>
      <c r="K8" s="291"/>
      <c r="L8" s="291"/>
      <c r="M8" s="291"/>
      <c r="N8" s="291"/>
      <c r="O8" s="291"/>
      <c r="P8" s="291"/>
      <c r="Q8" s="291"/>
      <c r="R8" s="139"/>
      <c r="T8" s="88"/>
      <c r="AD8" s="88"/>
      <c r="AE8" s="88"/>
      <c r="AF8" s="88"/>
      <c r="AG8" s="88"/>
      <c r="AH8" s="88"/>
      <c r="AI8" s="88"/>
      <c r="AJ8" s="88"/>
    </row>
    <row r="9" spans="1:36" ht="15.75" customHeight="1" x14ac:dyDescent="0.25">
      <c r="A9" s="286" t="s">
        <v>170</v>
      </c>
      <c r="B9" s="286"/>
      <c r="C9" s="286"/>
      <c r="D9" s="286"/>
      <c r="E9" s="286"/>
      <c r="F9" s="286"/>
      <c r="G9" s="286"/>
      <c r="H9" s="286"/>
      <c r="I9" s="286"/>
      <c r="J9" s="291" t="s">
        <v>122</v>
      </c>
      <c r="K9" s="291"/>
      <c r="L9" s="291"/>
      <c r="M9" s="291"/>
      <c r="N9" s="291"/>
      <c r="O9" s="291"/>
      <c r="P9" s="291"/>
      <c r="Q9" s="291"/>
      <c r="R9" s="139"/>
      <c r="T9" s="88"/>
      <c r="AD9" s="88"/>
      <c r="AE9" s="88"/>
      <c r="AF9" s="88"/>
      <c r="AG9" s="88"/>
      <c r="AH9" s="88"/>
      <c r="AI9" s="88"/>
      <c r="AJ9" s="88"/>
    </row>
    <row r="10" spans="1:36" ht="15.75" customHeight="1" x14ac:dyDescent="0.25">
      <c r="A10" s="286" t="s">
        <v>171</v>
      </c>
      <c r="B10" s="286"/>
      <c r="C10" s="286"/>
      <c r="D10" s="286"/>
      <c r="E10" s="286"/>
      <c r="F10" s="286"/>
      <c r="G10" s="286"/>
      <c r="H10" s="286"/>
      <c r="I10" s="286"/>
      <c r="J10" s="291" t="s">
        <v>123</v>
      </c>
      <c r="K10" s="291"/>
      <c r="L10" s="291"/>
      <c r="M10" s="291"/>
      <c r="N10" s="291"/>
      <c r="O10" s="291"/>
      <c r="P10" s="291"/>
      <c r="Q10" s="291"/>
      <c r="R10" s="139"/>
      <c r="T10" s="88"/>
      <c r="AD10" s="88"/>
      <c r="AE10" s="88"/>
      <c r="AF10" s="88"/>
      <c r="AG10" s="88"/>
      <c r="AH10" s="88"/>
      <c r="AI10" s="88"/>
      <c r="AJ10" s="88"/>
    </row>
    <row r="11" spans="1:36" ht="15.75" customHeight="1" x14ac:dyDescent="0.25">
      <c r="A11" s="286" t="s">
        <v>172</v>
      </c>
      <c r="B11" s="286"/>
      <c r="C11" s="286"/>
      <c r="D11" s="286"/>
      <c r="E11" s="286"/>
      <c r="F11" s="286"/>
      <c r="G11" s="286"/>
      <c r="H11" s="286"/>
      <c r="I11" s="286"/>
      <c r="J11" s="291" t="s">
        <v>124</v>
      </c>
      <c r="K11" s="291"/>
      <c r="L11" s="291"/>
      <c r="M11" s="291"/>
      <c r="N11" s="291"/>
      <c r="O11" s="291"/>
      <c r="P11" s="291"/>
      <c r="Q11" s="291"/>
      <c r="R11" s="139"/>
      <c r="T11" s="88"/>
      <c r="AD11" s="88"/>
      <c r="AE11" s="88"/>
      <c r="AF11" s="88"/>
      <c r="AG11" s="88"/>
      <c r="AH11" s="88"/>
      <c r="AI11" s="88"/>
      <c r="AJ11" s="88"/>
    </row>
    <row r="12" spans="1:36" ht="15" customHeight="1" x14ac:dyDescent="0.25">
      <c r="A12" s="286" t="s">
        <v>173</v>
      </c>
      <c r="B12" s="286"/>
      <c r="C12" s="286"/>
      <c r="D12" s="286"/>
      <c r="E12" s="286"/>
      <c r="F12" s="286"/>
      <c r="G12" s="286"/>
      <c r="H12" s="286"/>
      <c r="I12" s="286"/>
      <c r="J12" s="291" t="s">
        <v>125</v>
      </c>
      <c r="K12" s="291"/>
      <c r="L12" s="291"/>
      <c r="M12" s="291"/>
      <c r="N12" s="291"/>
      <c r="O12" s="291"/>
      <c r="P12" s="291"/>
      <c r="Q12" s="291"/>
      <c r="R12" s="139"/>
      <c r="T12" s="88"/>
      <c r="AD12" s="88"/>
      <c r="AE12" s="88"/>
      <c r="AF12" s="88"/>
      <c r="AG12" s="88"/>
      <c r="AH12" s="88"/>
      <c r="AI12" s="88"/>
      <c r="AJ12" s="88"/>
    </row>
    <row r="13" spans="1:36" ht="15" customHeight="1" x14ac:dyDescent="0.25">
      <c r="A13" s="109"/>
      <c r="B13" s="108"/>
      <c r="C13" s="108"/>
      <c r="D13" s="108"/>
      <c r="E13" s="108"/>
      <c r="F13" s="108"/>
      <c r="G13" s="108"/>
      <c r="H13" s="108"/>
      <c r="I13" s="108"/>
      <c r="J13" s="291" t="s">
        <v>126</v>
      </c>
      <c r="K13" s="291"/>
      <c r="L13" s="291"/>
      <c r="M13" s="291"/>
      <c r="N13" s="291"/>
      <c r="O13" s="291"/>
      <c r="P13" s="291"/>
      <c r="Q13" s="291"/>
      <c r="R13" s="139"/>
      <c r="T13" s="88"/>
      <c r="AD13" s="88"/>
      <c r="AE13" s="88"/>
      <c r="AF13" s="88"/>
      <c r="AG13" s="88"/>
      <c r="AH13" s="88"/>
      <c r="AI13" s="88"/>
      <c r="AJ13" s="88"/>
    </row>
    <row r="14" spans="1:36" ht="15.75" customHeight="1" x14ac:dyDescent="0.25">
      <c r="A14" s="286" t="s">
        <v>101</v>
      </c>
      <c r="B14" s="286"/>
      <c r="C14" s="286"/>
      <c r="D14" s="286"/>
      <c r="E14" s="286"/>
      <c r="F14" s="286"/>
      <c r="G14" s="286"/>
      <c r="H14" s="286"/>
      <c r="I14" s="286"/>
      <c r="J14" s="291" t="s">
        <v>127</v>
      </c>
      <c r="K14" s="291"/>
      <c r="L14" s="291"/>
      <c r="M14" s="291"/>
      <c r="N14" s="291"/>
      <c r="O14" s="291"/>
      <c r="P14" s="291"/>
      <c r="Q14" s="291"/>
      <c r="R14" s="139"/>
      <c r="T14" s="88"/>
      <c r="AD14" s="88"/>
      <c r="AE14" s="88"/>
      <c r="AF14" s="88"/>
      <c r="AG14" s="88"/>
      <c r="AH14" s="88"/>
      <c r="AI14" s="88"/>
      <c r="AJ14" s="88"/>
    </row>
    <row r="15" spans="1:36" ht="15.75" customHeight="1" x14ac:dyDescent="0.25">
      <c r="A15" s="286" t="s">
        <v>175</v>
      </c>
      <c r="B15" s="286"/>
      <c r="C15" s="286"/>
      <c r="D15" s="286"/>
      <c r="E15" s="286"/>
      <c r="F15" s="286"/>
      <c r="G15" s="286"/>
      <c r="H15" s="286"/>
      <c r="I15" s="286"/>
      <c r="J15" s="291" t="s">
        <v>128</v>
      </c>
      <c r="K15" s="291"/>
      <c r="L15" s="291"/>
      <c r="M15" s="291"/>
      <c r="N15" s="291"/>
      <c r="O15" s="291"/>
      <c r="P15" s="291"/>
      <c r="Q15" s="291"/>
      <c r="R15" s="139"/>
      <c r="T15" s="88"/>
      <c r="AD15" s="88"/>
      <c r="AE15" s="88"/>
      <c r="AF15" s="88"/>
      <c r="AG15" s="88"/>
      <c r="AH15" s="88"/>
      <c r="AI15" s="88"/>
      <c r="AJ15" s="88"/>
    </row>
    <row r="16" spans="1:36" ht="15.75" x14ac:dyDescent="0.25">
      <c r="A16" s="286" t="s">
        <v>176</v>
      </c>
      <c r="B16" s="286"/>
      <c r="C16" s="286"/>
      <c r="D16" s="286"/>
      <c r="E16" s="286"/>
      <c r="F16" s="286"/>
      <c r="G16" s="286"/>
      <c r="H16" s="286"/>
      <c r="I16" s="286"/>
      <c r="J16" s="145"/>
      <c r="K16" s="145"/>
      <c r="L16" s="145"/>
      <c r="M16" s="145"/>
      <c r="N16" s="145"/>
      <c r="O16" s="145"/>
      <c r="P16" s="145"/>
      <c r="Q16" s="145"/>
      <c r="R16" s="104"/>
      <c r="T16" s="88"/>
      <c r="AD16" s="88"/>
      <c r="AE16" s="88"/>
      <c r="AF16" s="88"/>
      <c r="AG16" s="88"/>
      <c r="AH16" s="88"/>
      <c r="AI16" s="88"/>
      <c r="AJ16" s="88"/>
    </row>
    <row r="17" spans="1:36" ht="15.75" customHeight="1" x14ac:dyDescent="0.25">
      <c r="A17" s="286" t="s">
        <v>177</v>
      </c>
      <c r="B17" s="286"/>
      <c r="C17" s="286"/>
      <c r="D17" s="286"/>
      <c r="E17" s="286"/>
      <c r="F17" s="286"/>
      <c r="G17" s="286"/>
      <c r="H17" s="286"/>
      <c r="I17" s="286"/>
      <c r="J17" s="290" t="s">
        <v>99</v>
      </c>
      <c r="K17" s="290"/>
      <c r="L17" s="290"/>
      <c r="M17" s="290"/>
      <c r="N17" s="290"/>
      <c r="O17" s="290"/>
      <c r="P17" s="290"/>
      <c r="Q17" s="290"/>
      <c r="R17" s="106"/>
      <c r="T17" s="88"/>
      <c r="AD17" s="88"/>
      <c r="AE17" s="88"/>
      <c r="AF17" s="88"/>
      <c r="AG17" s="88"/>
      <c r="AH17" s="88"/>
      <c r="AI17" s="88"/>
      <c r="AJ17" s="88"/>
    </row>
    <row r="18" spans="1:36" ht="15.75" customHeight="1" x14ac:dyDescent="0.25">
      <c r="A18" s="109"/>
      <c r="B18" s="108"/>
      <c r="C18" s="108"/>
      <c r="D18" s="108"/>
      <c r="E18" s="108"/>
      <c r="F18" s="108"/>
      <c r="G18" s="108"/>
      <c r="H18" s="108"/>
      <c r="I18" s="108"/>
      <c r="J18" s="292" t="s">
        <v>149</v>
      </c>
      <c r="K18" s="292"/>
      <c r="L18" s="292"/>
      <c r="M18" s="292"/>
      <c r="N18" s="292"/>
      <c r="O18" s="292"/>
      <c r="P18" s="292"/>
      <c r="Q18" s="292"/>
      <c r="R18" s="140"/>
      <c r="T18" s="88"/>
      <c r="AD18" s="88"/>
      <c r="AE18" s="88"/>
      <c r="AF18" s="88"/>
      <c r="AG18" s="88"/>
      <c r="AH18" s="88"/>
      <c r="AI18" s="88"/>
      <c r="AJ18" s="88"/>
    </row>
    <row r="19" spans="1:36" ht="15" customHeight="1" x14ac:dyDescent="0.25">
      <c r="A19" s="286" t="s">
        <v>102</v>
      </c>
      <c r="B19" s="286"/>
      <c r="C19" s="286"/>
      <c r="D19" s="286"/>
      <c r="E19" s="286"/>
      <c r="F19" s="286"/>
      <c r="G19" s="286"/>
      <c r="H19" s="286"/>
      <c r="I19" s="286"/>
      <c r="J19" s="292" t="s">
        <v>150</v>
      </c>
      <c r="K19" s="292"/>
      <c r="L19" s="292"/>
      <c r="M19" s="292"/>
      <c r="N19" s="292"/>
      <c r="O19" s="292"/>
      <c r="P19" s="292"/>
      <c r="Q19" s="292"/>
      <c r="R19" s="140"/>
      <c r="T19" s="88"/>
      <c r="AD19" s="88"/>
      <c r="AE19" s="88"/>
      <c r="AF19" s="88"/>
      <c r="AG19" s="88"/>
      <c r="AH19" s="88"/>
      <c r="AI19" s="88"/>
      <c r="AJ19" s="88"/>
    </row>
    <row r="20" spans="1:36" ht="15" customHeight="1" x14ac:dyDescent="0.25">
      <c r="A20" s="286" t="s">
        <v>178</v>
      </c>
      <c r="B20" s="286"/>
      <c r="C20" s="286"/>
      <c r="D20" s="286"/>
      <c r="E20" s="286"/>
      <c r="F20" s="286"/>
      <c r="G20" s="286"/>
      <c r="H20" s="286"/>
      <c r="I20" s="286"/>
      <c r="J20" s="289" t="s">
        <v>151</v>
      </c>
      <c r="K20" s="289"/>
      <c r="L20" s="289"/>
      <c r="M20" s="289"/>
      <c r="N20" s="289"/>
      <c r="O20" s="289"/>
      <c r="P20" s="289"/>
      <c r="Q20" s="289"/>
      <c r="R20" s="141"/>
      <c r="T20" s="88"/>
      <c r="AD20" s="88"/>
      <c r="AE20" s="88"/>
      <c r="AF20" s="88"/>
      <c r="AG20" s="88"/>
      <c r="AH20" s="88"/>
      <c r="AI20" s="88"/>
      <c r="AJ20" s="88"/>
    </row>
    <row r="21" spans="1:36" ht="15.75" x14ac:dyDescent="0.25">
      <c r="A21" s="286" t="s">
        <v>179</v>
      </c>
      <c r="B21" s="286"/>
      <c r="C21" s="286"/>
      <c r="D21" s="286"/>
      <c r="E21" s="286"/>
      <c r="F21" s="286"/>
      <c r="G21" s="286"/>
      <c r="H21" s="286"/>
      <c r="I21" s="286"/>
      <c r="J21" s="146"/>
      <c r="K21" s="146"/>
      <c r="L21" s="146"/>
      <c r="M21" s="145"/>
      <c r="N21" s="145"/>
      <c r="O21" s="145"/>
      <c r="P21" s="145"/>
      <c r="Q21" s="145"/>
      <c r="R21" s="104"/>
      <c r="T21" s="88"/>
      <c r="AD21" s="88"/>
      <c r="AE21" s="88"/>
      <c r="AF21" s="88"/>
      <c r="AG21" s="88"/>
      <c r="AH21" s="88"/>
      <c r="AI21" s="88"/>
      <c r="AJ21" s="88"/>
    </row>
    <row r="22" spans="1:36" ht="15.75" customHeight="1" x14ac:dyDescent="0.25">
      <c r="A22" s="286" t="s">
        <v>180</v>
      </c>
      <c r="B22" s="286"/>
      <c r="C22" s="286"/>
      <c r="D22" s="286"/>
      <c r="E22" s="286"/>
      <c r="F22" s="286"/>
      <c r="G22" s="286"/>
      <c r="H22" s="286"/>
      <c r="I22" s="286"/>
      <c r="J22" s="290" t="s">
        <v>100</v>
      </c>
      <c r="K22" s="290"/>
      <c r="L22" s="290"/>
      <c r="M22" s="290"/>
      <c r="N22" s="290"/>
      <c r="O22" s="290"/>
      <c r="P22" s="290"/>
      <c r="Q22" s="290"/>
      <c r="R22" s="106"/>
      <c r="T22" s="88"/>
      <c r="AD22" s="88"/>
      <c r="AE22" s="88"/>
      <c r="AF22" s="88"/>
      <c r="AG22" s="88"/>
      <c r="AH22" s="88"/>
      <c r="AI22" s="88"/>
      <c r="AJ22" s="88"/>
    </row>
    <row r="23" spans="1:36" ht="15.75" customHeight="1" x14ac:dyDescent="0.25">
      <c r="A23" s="109"/>
      <c r="B23" s="108"/>
      <c r="C23" s="108"/>
      <c r="D23" s="108"/>
      <c r="E23" s="108"/>
      <c r="F23" s="108"/>
      <c r="G23" s="108"/>
      <c r="H23" s="108"/>
      <c r="I23" s="108"/>
      <c r="J23" s="290" t="s">
        <v>169</v>
      </c>
      <c r="K23" s="290"/>
      <c r="L23" s="290"/>
      <c r="M23" s="290"/>
      <c r="N23" s="290"/>
      <c r="O23" s="290"/>
      <c r="P23" s="290"/>
      <c r="Q23" s="290"/>
      <c r="R23" s="106"/>
      <c r="T23" s="88"/>
      <c r="AD23" s="88"/>
      <c r="AE23" s="88"/>
      <c r="AF23" s="88"/>
      <c r="AG23" s="88"/>
      <c r="AH23" s="88"/>
      <c r="AI23" s="88"/>
      <c r="AJ23" s="88"/>
    </row>
    <row r="24" spans="1:36" ht="15.75" customHeight="1" x14ac:dyDescent="0.25">
      <c r="A24" s="286" t="s">
        <v>103</v>
      </c>
      <c r="B24" s="286"/>
      <c r="C24" s="286"/>
      <c r="D24" s="286"/>
      <c r="E24" s="286"/>
      <c r="F24" s="286"/>
      <c r="G24" s="286"/>
      <c r="H24" s="286"/>
      <c r="I24" s="286"/>
      <c r="J24" s="290" t="s">
        <v>170</v>
      </c>
      <c r="K24" s="290"/>
      <c r="L24" s="290"/>
      <c r="M24" s="290"/>
      <c r="N24" s="290"/>
      <c r="O24" s="290"/>
      <c r="P24" s="290"/>
      <c r="Q24" s="290"/>
      <c r="R24" s="106"/>
      <c r="T24" s="88"/>
      <c r="AD24" s="88"/>
      <c r="AE24" s="88"/>
      <c r="AF24" s="88"/>
      <c r="AG24" s="88"/>
      <c r="AH24" s="88"/>
      <c r="AI24" s="88"/>
      <c r="AJ24" s="88"/>
    </row>
    <row r="25" spans="1:36" ht="15.75" customHeight="1" x14ac:dyDescent="0.25">
      <c r="A25" s="286" t="s">
        <v>104</v>
      </c>
      <c r="B25" s="286"/>
      <c r="C25" s="286"/>
      <c r="D25" s="286"/>
      <c r="E25" s="286"/>
      <c r="F25" s="286"/>
      <c r="G25" s="286"/>
      <c r="H25" s="286"/>
      <c r="I25" s="286"/>
      <c r="J25" s="290" t="s">
        <v>171</v>
      </c>
      <c r="K25" s="290"/>
      <c r="L25" s="290"/>
      <c r="M25" s="290"/>
      <c r="N25" s="290"/>
      <c r="O25" s="290"/>
      <c r="P25" s="290"/>
      <c r="Q25" s="290"/>
      <c r="R25" s="106"/>
      <c r="T25" s="88"/>
      <c r="AD25" s="88"/>
      <c r="AE25" s="88"/>
      <c r="AF25" s="88"/>
      <c r="AG25" s="88"/>
      <c r="AH25" s="88"/>
      <c r="AI25" s="88"/>
      <c r="AJ25" s="88"/>
    </row>
    <row r="26" spans="1:36" ht="15.75" customHeight="1" x14ac:dyDescent="0.25">
      <c r="A26" s="286" t="s">
        <v>181</v>
      </c>
      <c r="B26" s="286"/>
      <c r="C26" s="286"/>
      <c r="D26" s="286"/>
      <c r="E26" s="286"/>
      <c r="F26" s="286"/>
      <c r="G26" s="286"/>
      <c r="H26" s="286"/>
      <c r="I26" s="286"/>
      <c r="J26" s="290" t="s">
        <v>172</v>
      </c>
      <c r="K26" s="290"/>
      <c r="L26" s="290"/>
      <c r="M26" s="290"/>
      <c r="N26" s="290"/>
      <c r="O26" s="290"/>
      <c r="P26" s="290"/>
      <c r="Q26" s="290"/>
      <c r="R26" s="106"/>
      <c r="T26" s="88"/>
      <c r="AD26" s="88"/>
      <c r="AE26" s="88"/>
      <c r="AF26" s="88"/>
      <c r="AG26" s="88"/>
      <c r="AH26" s="88"/>
      <c r="AI26" s="88"/>
      <c r="AJ26" s="88"/>
    </row>
    <row r="27" spans="1:36" ht="15" customHeight="1" x14ac:dyDescent="0.25">
      <c r="A27" s="286" t="s">
        <v>182</v>
      </c>
      <c r="B27" s="286"/>
      <c r="C27" s="286"/>
      <c r="D27" s="286"/>
      <c r="E27" s="286"/>
      <c r="F27" s="286"/>
      <c r="G27" s="286"/>
      <c r="H27" s="286"/>
      <c r="I27" s="286"/>
      <c r="J27" s="290" t="s">
        <v>173</v>
      </c>
      <c r="K27" s="290"/>
      <c r="L27" s="290"/>
      <c r="M27" s="290"/>
      <c r="N27" s="290"/>
      <c r="O27" s="290"/>
      <c r="P27" s="290"/>
      <c r="Q27" s="290"/>
      <c r="R27" s="106"/>
      <c r="T27" s="88"/>
      <c r="U27" s="88"/>
      <c r="V27" s="88"/>
      <c r="W27" s="88"/>
      <c r="X27" s="88"/>
      <c r="Y27" s="88"/>
      <c r="Z27" s="88"/>
      <c r="AA27" s="88"/>
      <c r="AB27" s="88"/>
      <c r="AC27" s="88"/>
      <c r="AD27" s="88"/>
      <c r="AE27" s="88"/>
      <c r="AF27" s="88"/>
      <c r="AG27" s="88"/>
      <c r="AH27" s="88"/>
      <c r="AI27" s="88"/>
      <c r="AJ27" s="88"/>
    </row>
    <row r="28" spans="1:36" ht="15" customHeight="1" x14ac:dyDescent="0.25">
      <c r="A28" s="286" t="s">
        <v>105</v>
      </c>
      <c r="B28" s="286"/>
      <c r="C28" s="286"/>
      <c r="D28" s="286"/>
      <c r="E28" s="286"/>
      <c r="F28" s="286"/>
      <c r="G28" s="286"/>
      <c r="H28" s="286"/>
      <c r="I28" s="286"/>
      <c r="J28" s="104"/>
      <c r="K28" s="104"/>
      <c r="L28" s="104"/>
      <c r="M28" s="104"/>
      <c r="N28" s="104"/>
      <c r="O28" s="104"/>
      <c r="P28" s="104"/>
      <c r="Q28" s="104"/>
      <c r="R28" s="104"/>
      <c r="S28" s="88"/>
      <c r="T28" s="88"/>
      <c r="U28" s="88"/>
      <c r="V28" s="88"/>
      <c r="W28" s="88"/>
      <c r="X28" s="88"/>
      <c r="Y28" s="88"/>
      <c r="Z28" s="88"/>
      <c r="AA28" s="88"/>
      <c r="AB28" s="88"/>
      <c r="AC28" s="88"/>
      <c r="AD28" s="88"/>
      <c r="AE28" s="88"/>
      <c r="AF28" s="88"/>
      <c r="AG28" s="88"/>
      <c r="AH28" s="88"/>
      <c r="AI28" s="88"/>
      <c r="AJ28" s="88"/>
    </row>
    <row r="29" spans="1:36" ht="15" customHeight="1" x14ac:dyDescent="0.25">
      <c r="A29" s="286" t="s">
        <v>106</v>
      </c>
      <c r="B29" s="286"/>
      <c r="C29" s="286"/>
      <c r="D29" s="286"/>
      <c r="E29" s="286"/>
      <c r="F29" s="286"/>
      <c r="G29" s="286"/>
      <c r="H29" s="286"/>
      <c r="I29" s="286"/>
      <c r="P29" s="102"/>
      <c r="Q29" s="88"/>
      <c r="R29" s="88"/>
      <c r="S29" s="88"/>
      <c r="T29" s="88"/>
      <c r="U29" s="88"/>
      <c r="V29" s="88"/>
      <c r="W29" s="88"/>
      <c r="X29" s="88"/>
      <c r="Y29" s="88"/>
      <c r="Z29" s="88"/>
      <c r="AA29" s="88"/>
      <c r="AB29" s="88"/>
      <c r="AC29" s="88"/>
      <c r="AD29" s="88"/>
      <c r="AE29" s="88"/>
      <c r="AF29" s="88"/>
      <c r="AG29" s="88"/>
      <c r="AH29" s="88"/>
      <c r="AI29" s="88"/>
      <c r="AJ29" s="88"/>
    </row>
    <row r="30" spans="1:36" ht="15" customHeight="1" x14ac:dyDescent="0.25">
      <c r="A30" s="286" t="s">
        <v>107</v>
      </c>
      <c r="B30" s="286"/>
      <c r="C30" s="286"/>
      <c r="D30" s="286"/>
      <c r="E30" s="286"/>
      <c r="F30" s="286"/>
      <c r="G30" s="286"/>
      <c r="H30" s="286"/>
      <c r="I30" s="286"/>
      <c r="J30" s="104"/>
      <c r="K30" s="104"/>
      <c r="L30" s="104"/>
      <c r="M30" s="104"/>
      <c r="N30" s="104"/>
      <c r="O30" s="102"/>
      <c r="P30" s="102"/>
      <c r="Q30" s="88"/>
      <c r="R30" s="88"/>
      <c r="S30" s="88"/>
      <c r="T30" s="88"/>
      <c r="U30" s="88"/>
      <c r="V30" s="88"/>
      <c r="W30" s="88"/>
      <c r="X30" s="88"/>
      <c r="Y30" s="88"/>
      <c r="Z30" s="88"/>
      <c r="AA30" s="88"/>
      <c r="AB30" s="88"/>
      <c r="AC30" s="88"/>
      <c r="AD30" s="88"/>
      <c r="AE30" s="88"/>
      <c r="AF30" s="88"/>
      <c r="AG30" s="88"/>
      <c r="AH30" s="88"/>
      <c r="AI30" s="88"/>
      <c r="AJ30" s="88"/>
    </row>
    <row r="31" spans="1:36" ht="15" customHeight="1" x14ac:dyDescent="0.25">
      <c r="A31" s="286" t="s">
        <v>108</v>
      </c>
      <c r="B31" s="286"/>
      <c r="C31" s="286"/>
      <c r="D31" s="286"/>
      <c r="E31" s="286"/>
      <c r="F31" s="286"/>
      <c r="G31" s="286"/>
      <c r="H31" s="286"/>
      <c r="I31" s="286"/>
      <c r="J31" s="104"/>
      <c r="K31" s="104"/>
      <c r="L31" s="104"/>
      <c r="M31" s="104"/>
      <c r="N31" s="104"/>
      <c r="O31" s="102"/>
      <c r="P31" s="102"/>
      <c r="Q31" s="88"/>
      <c r="R31" s="88"/>
      <c r="S31" s="88"/>
      <c r="T31" s="88"/>
      <c r="U31" s="88"/>
      <c r="V31" s="88"/>
      <c r="W31" s="88"/>
      <c r="X31" s="88"/>
      <c r="Y31" s="88"/>
      <c r="Z31" s="88"/>
      <c r="AA31" s="88"/>
      <c r="AB31" s="88"/>
      <c r="AC31" s="88"/>
      <c r="AD31" s="88"/>
      <c r="AE31" s="88"/>
      <c r="AF31" s="88"/>
      <c r="AG31" s="88"/>
      <c r="AH31" s="88"/>
      <c r="AI31" s="88"/>
      <c r="AJ31" s="88"/>
    </row>
    <row r="32" spans="1:36" ht="15" customHeight="1" x14ac:dyDescent="0.25">
      <c r="A32" s="108"/>
      <c r="B32" s="108"/>
      <c r="C32" s="108"/>
      <c r="D32" s="108"/>
      <c r="E32" s="108"/>
      <c r="F32" s="108"/>
      <c r="G32" s="108"/>
      <c r="H32" s="108"/>
      <c r="I32" s="108"/>
      <c r="J32" s="104"/>
      <c r="K32" s="104"/>
      <c r="L32" s="104"/>
      <c r="M32" s="104"/>
      <c r="N32" s="104"/>
      <c r="O32" s="102"/>
      <c r="P32" s="102"/>
      <c r="Q32" s="88"/>
      <c r="R32" s="88"/>
      <c r="S32" s="88"/>
      <c r="T32" s="88"/>
      <c r="U32" s="88"/>
      <c r="V32" s="88"/>
      <c r="W32" s="88"/>
      <c r="X32" s="88"/>
      <c r="Y32" s="88"/>
      <c r="Z32" s="88"/>
      <c r="AA32" s="88"/>
      <c r="AB32" s="88"/>
      <c r="AC32" s="88"/>
      <c r="AD32" s="88"/>
      <c r="AE32" s="88"/>
      <c r="AF32" s="88"/>
      <c r="AG32" s="88"/>
      <c r="AH32" s="88"/>
      <c r="AI32" s="88"/>
      <c r="AJ32" s="88"/>
    </row>
    <row r="33" spans="1:36" x14ac:dyDescent="0.25">
      <c r="A33" s="110"/>
      <c r="B33" s="108"/>
      <c r="C33" s="108"/>
      <c r="D33" s="108"/>
      <c r="E33" s="108"/>
      <c r="F33" s="108"/>
      <c r="G33" s="108"/>
      <c r="H33" s="108"/>
      <c r="I33" s="108"/>
      <c r="J33" s="104"/>
      <c r="K33" s="104"/>
      <c r="L33" s="104"/>
      <c r="M33" s="104"/>
      <c r="N33" s="104"/>
      <c r="O33" s="102"/>
      <c r="P33" s="102"/>
      <c r="Q33" s="88"/>
      <c r="R33" s="88"/>
      <c r="S33" s="88"/>
      <c r="T33" s="88"/>
      <c r="U33" s="88"/>
      <c r="V33" s="88"/>
      <c r="W33" s="88"/>
      <c r="X33" s="88"/>
      <c r="Y33" s="88"/>
      <c r="Z33" s="88"/>
      <c r="AA33" s="88"/>
      <c r="AB33" s="88"/>
      <c r="AC33" s="88"/>
      <c r="AD33" s="88"/>
      <c r="AE33" s="88"/>
      <c r="AF33" s="88"/>
      <c r="AG33" s="88"/>
      <c r="AH33" s="88"/>
      <c r="AI33" s="88"/>
      <c r="AJ33" s="88"/>
    </row>
    <row r="34" spans="1:36" ht="15.75" x14ac:dyDescent="0.25">
      <c r="A34" s="287" t="s">
        <v>112</v>
      </c>
      <c r="B34" s="287"/>
      <c r="C34" s="287"/>
      <c r="D34" s="287"/>
      <c r="E34" s="287"/>
      <c r="F34" s="287"/>
      <c r="G34" s="287"/>
      <c r="H34" s="287"/>
      <c r="I34" s="287"/>
      <c r="J34" s="104"/>
      <c r="K34" s="104"/>
      <c r="L34" s="104"/>
      <c r="M34" s="104"/>
      <c r="N34" s="104"/>
      <c r="O34" s="102"/>
      <c r="P34" s="102"/>
      <c r="Q34" s="88"/>
      <c r="R34" s="88"/>
      <c r="S34" s="88"/>
      <c r="T34" s="88"/>
      <c r="U34" s="88"/>
      <c r="V34" s="88"/>
      <c r="W34" s="88"/>
      <c r="X34" s="88"/>
      <c r="Y34" s="88"/>
      <c r="Z34" s="88"/>
      <c r="AA34" s="88"/>
      <c r="AB34" s="88"/>
      <c r="AC34" s="88"/>
      <c r="AD34" s="88"/>
      <c r="AE34" s="88"/>
      <c r="AF34" s="88"/>
      <c r="AG34" s="88"/>
      <c r="AH34" s="88"/>
      <c r="AI34" s="88"/>
      <c r="AJ34" s="88"/>
    </row>
    <row r="35" spans="1:36" ht="15.75" x14ac:dyDescent="0.25">
      <c r="A35" s="287" t="s">
        <v>115</v>
      </c>
      <c r="B35" s="287"/>
      <c r="C35" s="287"/>
      <c r="D35" s="287"/>
      <c r="E35" s="287"/>
      <c r="F35" s="287"/>
      <c r="G35" s="287"/>
      <c r="H35" s="287"/>
      <c r="I35" s="287"/>
      <c r="J35" s="104"/>
      <c r="K35" s="104"/>
      <c r="L35" s="104"/>
      <c r="M35" s="104"/>
      <c r="N35" s="104"/>
      <c r="O35" s="102"/>
      <c r="P35" s="102"/>
      <c r="Q35" s="88"/>
      <c r="R35" s="88"/>
      <c r="S35" s="88"/>
      <c r="T35" s="88"/>
      <c r="U35" s="88"/>
      <c r="V35" s="88"/>
      <c r="W35" s="88"/>
      <c r="X35" s="88"/>
      <c r="Y35" s="88"/>
      <c r="Z35" s="88"/>
      <c r="AA35" s="88"/>
      <c r="AB35" s="88"/>
      <c r="AC35" s="88"/>
      <c r="AD35" s="88"/>
      <c r="AE35" s="88"/>
      <c r="AF35" s="88"/>
      <c r="AG35" s="88"/>
      <c r="AH35" s="88"/>
      <c r="AI35" s="88"/>
      <c r="AJ35" s="88"/>
    </row>
    <row r="36" spans="1:36" ht="15.75" x14ac:dyDescent="0.25">
      <c r="A36" s="287" t="s">
        <v>116</v>
      </c>
      <c r="B36" s="287"/>
      <c r="C36" s="287"/>
      <c r="D36" s="287"/>
      <c r="E36" s="287"/>
      <c r="F36" s="287"/>
      <c r="G36" s="287"/>
      <c r="H36" s="287"/>
      <c r="I36" s="287"/>
      <c r="J36" s="104"/>
      <c r="K36" s="104"/>
      <c r="L36" s="104"/>
      <c r="M36" s="104"/>
      <c r="N36" s="104"/>
      <c r="O36" s="102"/>
      <c r="P36" s="102"/>
      <c r="Q36" s="88"/>
      <c r="R36" s="88"/>
      <c r="S36" s="88"/>
      <c r="T36" s="88"/>
      <c r="U36" s="88"/>
      <c r="V36" s="88"/>
      <c r="W36" s="88"/>
      <c r="X36" s="88"/>
      <c r="Y36" s="88"/>
      <c r="Z36" s="88"/>
      <c r="AA36" s="88"/>
      <c r="AB36" s="88"/>
      <c r="AC36" s="88"/>
      <c r="AD36" s="88"/>
      <c r="AE36" s="88"/>
      <c r="AF36" s="88"/>
      <c r="AG36" s="88"/>
      <c r="AH36" s="88"/>
      <c r="AI36" s="88"/>
      <c r="AJ36" s="88"/>
    </row>
    <row r="37" spans="1:36" ht="15.75" x14ac:dyDescent="0.25">
      <c r="A37" s="287" t="s">
        <v>113</v>
      </c>
      <c r="B37" s="287"/>
      <c r="C37" s="287"/>
      <c r="D37" s="287"/>
      <c r="E37" s="287"/>
      <c r="F37" s="287"/>
      <c r="G37" s="287"/>
      <c r="H37" s="287"/>
      <c r="I37" s="287"/>
      <c r="J37" s="104"/>
      <c r="K37" s="104"/>
      <c r="L37" s="104"/>
      <c r="M37" s="104"/>
      <c r="N37" s="104"/>
      <c r="O37" s="102"/>
      <c r="P37" s="102"/>
      <c r="Q37" s="88"/>
      <c r="R37" s="88"/>
      <c r="S37" s="88"/>
      <c r="T37" s="88"/>
      <c r="U37" s="88"/>
      <c r="V37" s="88"/>
      <c r="W37" s="88"/>
      <c r="X37" s="88"/>
      <c r="Y37" s="88"/>
      <c r="Z37" s="88"/>
      <c r="AA37" s="88"/>
      <c r="AB37" s="88"/>
      <c r="AC37" s="88"/>
      <c r="AD37" s="88"/>
      <c r="AE37" s="88"/>
      <c r="AF37" s="88"/>
      <c r="AG37" s="88"/>
      <c r="AH37" s="88"/>
      <c r="AI37" s="88"/>
      <c r="AJ37" s="88"/>
    </row>
    <row r="38" spans="1:36" ht="15.75" x14ac:dyDescent="0.25">
      <c r="A38" s="287" t="s">
        <v>114</v>
      </c>
      <c r="B38" s="287"/>
      <c r="C38" s="287"/>
      <c r="D38" s="287"/>
      <c r="E38" s="287"/>
      <c r="F38" s="287"/>
      <c r="G38" s="287"/>
      <c r="H38" s="287"/>
      <c r="I38" s="287"/>
      <c r="J38" s="104"/>
      <c r="K38" s="104"/>
      <c r="L38" s="104"/>
      <c r="M38" s="104"/>
      <c r="N38" s="104"/>
      <c r="O38" s="102"/>
      <c r="P38" s="102"/>
      <c r="Q38" s="88"/>
      <c r="R38" s="88"/>
      <c r="S38" s="88"/>
      <c r="T38" s="88"/>
      <c r="U38" s="88"/>
      <c r="V38" s="88"/>
      <c r="W38" s="88"/>
      <c r="X38" s="88"/>
      <c r="Y38" s="88"/>
      <c r="Z38" s="88"/>
      <c r="AA38" s="88"/>
      <c r="AB38" s="88"/>
      <c r="AC38" s="88"/>
      <c r="AD38" s="88"/>
      <c r="AE38" s="88"/>
      <c r="AF38" s="88"/>
      <c r="AG38" s="88"/>
      <c r="AH38" s="88"/>
      <c r="AI38" s="88"/>
      <c r="AJ38" s="88"/>
    </row>
    <row r="39" spans="1:36" ht="31.5" customHeight="1" x14ac:dyDescent="0.25">
      <c r="A39" s="287" t="s">
        <v>110</v>
      </c>
      <c r="B39" s="287"/>
      <c r="C39" s="287"/>
      <c r="D39" s="287"/>
      <c r="E39" s="287"/>
      <c r="F39" s="287"/>
      <c r="G39" s="287"/>
      <c r="H39" s="287"/>
      <c r="I39" s="287"/>
      <c r="J39" s="104"/>
      <c r="K39" s="104"/>
      <c r="L39" s="104"/>
      <c r="M39" s="104"/>
      <c r="N39" s="104"/>
      <c r="O39" s="102"/>
      <c r="P39" s="102"/>
      <c r="Q39" s="88"/>
      <c r="R39" s="88"/>
      <c r="S39" s="88"/>
      <c r="T39" s="88"/>
      <c r="U39" s="88"/>
      <c r="V39" s="88"/>
      <c r="W39" s="88"/>
      <c r="X39" s="88"/>
      <c r="Y39" s="88"/>
      <c r="Z39" s="88"/>
      <c r="AA39" s="88"/>
      <c r="AB39" s="88"/>
      <c r="AC39" s="88"/>
      <c r="AD39" s="88"/>
      <c r="AE39" s="88"/>
      <c r="AF39" s="88"/>
      <c r="AG39" s="88"/>
      <c r="AH39" s="88"/>
      <c r="AI39" s="88"/>
      <c r="AJ39" s="88"/>
    </row>
    <row r="40" spans="1:36" ht="15.75" x14ac:dyDescent="0.25">
      <c r="A40" s="287" t="s">
        <v>111</v>
      </c>
      <c r="B40" s="287"/>
      <c r="C40" s="287"/>
      <c r="D40" s="287"/>
      <c r="E40" s="287"/>
      <c r="F40" s="287"/>
      <c r="G40" s="287"/>
      <c r="H40" s="287"/>
      <c r="I40" s="287"/>
      <c r="J40" s="104"/>
      <c r="K40" s="104"/>
      <c r="L40" s="104"/>
      <c r="M40" s="104"/>
      <c r="N40" s="104"/>
      <c r="O40" s="102"/>
      <c r="P40" s="102"/>
      <c r="Q40" s="88"/>
      <c r="R40" s="88"/>
      <c r="S40" s="88"/>
      <c r="T40" s="88"/>
      <c r="U40" s="88"/>
      <c r="V40" s="88"/>
      <c r="W40" s="88"/>
      <c r="X40" s="88"/>
      <c r="Y40" s="88"/>
      <c r="Z40" s="88"/>
      <c r="AA40" s="88"/>
      <c r="AB40" s="88"/>
      <c r="AC40" s="88"/>
      <c r="AD40" s="88"/>
      <c r="AE40" s="88"/>
      <c r="AF40" s="88"/>
      <c r="AG40" s="88"/>
      <c r="AH40" s="88"/>
      <c r="AI40" s="88"/>
      <c r="AJ40" s="88"/>
    </row>
    <row r="41" spans="1:36" ht="15.75" x14ac:dyDescent="0.25">
      <c r="A41" s="111"/>
      <c r="B41" s="111"/>
      <c r="C41" s="111"/>
      <c r="D41" s="111"/>
      <c r="E41" s="111"/>
      <c r="F41" s="111"/>
      <c r="G41" s="111"/>
      <c r="H41" s="111"/>
      <c r="I41" s="111"/>
      <c r="J41" s="104"/>
      <c r="K41" s="104"/>
      <c r="L41" s="104"/>
      <c r="M41" s="104"/>
      <c r="N41" s="104"/>
      <c r="O41" s="102"/>
      <c r="P41" s="102"/>
      <c r="Q41" s="88"/>
      <c r="R41" s="88"/>
      <c r="S41" s="88"/>
      <c r="T41" s="88"/>
      <c r="U41" s="88"/>
      <c r="V41" s="88"/>
      <c r="W41" s="88"/>
      <c r="X41" s="88"/>
      <c r="Y41" s="88"/>
      <c r="Z41" s="88"/>
      <c r="AA41" s="88"/>
      <c r="AB41" s="88"/>
      <c r="AC41" s="88"/>
      <c r="AD41" s="88"/>
      <c r="AE41" s="88"/>
      <c r="AF41" s="88"/>
      <c r="AG41" s="88"/>
      <c r="AH41" s="88"/>
      <c r="AI41" s="88"/>
      <c r="AJ41" s="88"/>
    </row>
    <row r="42" spans="1:36" ht="15.75" x14ac:dyDescent="0.25">
      <c r="A42" s="111"/>
      <c r="B42" s="111"/>
      <c r="C42" s="111"/>
      <c r="D42" s="111"/>
      <c r="E42" s="111"/>
      <c r="F42" s="111"/>
      <c r="G42" s="111"/>
      <c r="H42" s="111"/>
      <c r="I42" s="111"/>
      <c r="J42" s="104"/>
      <c r="K42" s="104"/>
      <c r="L42" s="104"/>
      <c r="M42" s="104"/>
      <c r="N42" s="104"/>
      <c r="O42" s="102"/>
      <c r="P42" s="102"/>
      <c r="Q42" s="88"/>
      <c r="R42" s="88"/>
      <c r="S42" s="88"/>
      <c r="T42" s="88"/>
      <c r="U42" s="88"/>
      <c r="V42" s="88"/>
      <c r="W42" s="88"/>
      <c r="X42" s="88"/>
      <c r="Y42" s="88"/>
      <c r="Z42" s="88"/>
      <c r="AA42" s="88"/>
      <c r="AB42" s="88"/>
      <c r="AC42" s="88"/>
      <c r="AD42" s="88"/>
      <c r="AE42" s="88"/>
      <c r="AF42" s="88"/>
      <c r="AG42" s="88"/>
      <c r="AH42" s="88"/>
      <c r="AI42" s="88"/>
      <c r="AJ42" s="88"/>
    </row>
    <row r="43" spans="1:36" ht="15.75" x14ac:dyDescent="0.25">
      <c r="A43" s="111"/>
      <c r="B43" s="111"/>
      <c r="C43" s="111"/>
      <c r="D43" s="111"/>
      <c r="E43" s="111"/>
      <c r="F43" s="111"/>
      <c r="G43" s="111"/>
      <c r="H43" s="111"/>
      <c r="I43" s="111"/>
      <c r="J43" s="104"/>
      <c r="K43" s="104"/>
      <c r="L43" s="104"/>
      <c r="M43" s="104"/>
      <c r="N43" s="104"/>
      <c r="O43" s="102"/>
      <c r="P43" s="102"/>
      <c r="Q43" s="88"/>
      <c r="R43" s="88"/>
      <c r="S43" s="88"/>
      <c r="T43" s="88"/>
      <c r="U43" s="88"/>
      <c r="V43" s="88"/>
      <c r="W43" s="88"/>
      <c r="X43" s="88"/>
      <c r="Y43" s="88"/>
      <c r="Z43" s="88"/>
      <c r="AA43" s="88"/>
      <c r="AB43" s="88"/>
      <c r="AC43" s="88"/>
      <c r="AD43" s="88"/>
      <c r="AE43" s="88"/>
      <c r="AF43" s="88"/>
      <c r="AG43" s="88"/>
      <c r="AH43" s="88"/>
      <c r="AI43" s="88"/>
      <c r="AJ43" s="88"/>
    </row>
    <row r="44" spans="1:36" ht="15.75" customHeight="1" x14ac:dyDescent="0.25">
      <c r="A44" s="112"/>
      <c r="B44" s="113"/>
      <c r="C44" s="110"/>
      <c r="D44" s="110"/>
      <c r="E44" s="110"/>
      <c r="F44" s="110"/>
      <c r="G44" s="110"/>
      <c r="H44" s="110"/>
      <c r="I44" s="108"/>
      <c r="J44" s="104"/>
      <c r="K44" s="104"/>
      <c r="L44" s="104"/>
      <c r="M44" s="104"/>
      <c r="N44" s="104"/>
      <c r="O44" s="102"/>
      <c r="P44" s="102"/>
      <c r="Q44" s="88"/>
      <c r="R44" s="88"/>
      <c r="S44" s="88"/>
      <c r="T44" s="88"/>
      <c r="U44" s="88"/>
      <c r="V44" s="88"/>
      <c r="W44" s="88"/>
      <c r="X44" s="88"/>
      <c r="Y44" s="88"/>
      <c r="Z44" s="88"/>
      <c r="AA44" s="88"/>
      <c r="AB44" s="88"/>
      <c r="AC44" s="88"/>
      <c r="AD44" s="88"/>
      <c r="AE44" s="88"/>
      <c r="AF44" s="88"/>
      <c r="AG44" s="88"/>
      <c r="AH44" s="88"/>
      <c r="AI44" s="88"/>
      <c r="AJ44" s="88"/>
    </row>
  </sheetData>
  <sheetProtection password="CE3A" sheet="1" objects="1" scenarios="1"/>
  <mergeCells count="55">
    <mergeCell ref="J25:Q25"/>
    <mergeCell ref="J26:Q26"/>
    <mergeCell ref="J27:Q27"/>
    <mergeCell ref="J7:Q7"/>
    <mergeCell ref="J10:Q10"/>
    <mergeCell ref="J11:Q11"/>
    <mergeCell ref="J12:Q12"/>
    <mergeCell ref="J13:Q13"/>
    <mergeCell ref="J14:Q14"/>
    <mergeCell ref="J8:Q8"/>
    <mergeCell ref="J9:Q9"/>
    <mergeCell ref="J23:Q23"/>
    <mergeCell ref="J24:Q24"/>
    <mergeCell ref="J4:Q4"/>
    <mergeCell ref="J5:Q5"/>
    <mergeCell ref="J6:Q6"/>
    <mergeCell ref="J20:Q20"/>
    <mergeCell ref="J22:Q22"/>
    <mergeCell ref="J15:Q15"/>
    <mergeCell ref="J17:Q17"/>
    <mergeCell ref="J18:Q18"/>
    <mergeCell ref="J19:Q19"/>
    <mergeCell ref="A40:I40"/>
    <mergeCell ref="A34:I34"/>
    <mergeCell ref="A35:I35"/>
    <mergeCell ref="A36:I36"/>
    <mergeCell ref="A37:I37"/>
    <mergeCell ref="A38:I38"/>
    <mergeCell ref="A39:I39"/>
    <mergeCell ref="A22:I22"/>
    <mergeCell ref="A28:I28"/>
    <mergeCell ref="A29:I29"/>
    <mergeCell ref="A30:I30"/>
    <mergeCell ref="A31:I31"/>
    <mergeCell ref="A26:I26"/>
    <mergeCell ref="A24:I24"/>
    <mergeCell ref="A25:I25"/>
    <mergeCell ref="A27:I27"/>
    <mergeCell ref="A21:I21"/>
    <mergeCell ref="A8:I8"/>
    <mergeCell ref="A9:I9"/>
    <mergeCell ref="A10:I10"/>
    <mergeCell ref="A11:I11"/>
    <mergeCell ref="A12:I12"/>
    <mergeCell ref="A14:I14"/>
    <mergeCell ref="A15:I15"/>
    <mergeCell ref="A16:I16"/>
    <mergeCell ref="A17:I17"/>
    <mergeCell ref="A19:I19"/>
    <mergeCell ref="A20:I20"/>
    <mergeCell ref="A1:I1"/>
    <mergeCell ref="A3:I3"/>
    <mergeCell ref="A5:I5"/>
    <mergeCell ref="A6:I6"/>
    <mergeCell ref="A7:I7"/>
  </mergeCells>
  <pageMargins left="0.7" right="0.7" top="0.75" bottom="0.75" header="0.3" footer="0.3"/>
  <pageSetup paperSize="9" orientation="portrait" verticalDpi="0" r:id="rId1"/>
  <drawing r:id="rId2"/>
  <pictur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workbookViewId="0">
      <selection activeCell="C26" sqref="C26"/>
    </sheetView>
  </sheetViews>
  <sheetFormatPr defaultRowHeight="15" x14ac:dyDescent="0.25"/>
  <cols>
    <col min="1" max="1" width="27.28515625" style="100" customWidth="1"/>
    <col min="2" max="4" width="9.140625" style="100"/>
    <col min="5" max="5" width="18.140625" style="100" customWidth="1"/>
  </cols>
  <sheetData>
    <row r="2" spans="1:5" ht="15.75" x14ac:dyDescent="0.25">
      <c r="D2" s="136" t="s">
        <v>243</v>
      </c>
    </row>
    <row r="3" spans="1:5" x14ac:dyDescent="0.25">
      <c r="A3" s="100" t="s">
        <v>156</v>
      </c>
    </row>
    <row r="4" spans="1:5" ht="15.75" thickBot="1" x14ac:dyDescent="0.3"/>
    <row r="5" spans="1:5" ht="16.5" thickTop="1" thickBot="1" x14ac:dyDescent="0.3">
      <c r="A5" s="148" t="s">
        <v>157</v>
      </c>
      <c r="B5" s="152"/>
      <c r="C5" s="153"/>
      <c r="D5" s="153"/>
      <c r="E5" s="154"/>
    </row>
    <row r="6" spans="1:5" ht="16.5" thickTop="1" thickBot="1" x14ac:dyDescent="0.3">
      <c r="A6" s="149" t="s">
        <v>158</v>
      </c>
      <c r="B6" s="151"/>
      <c r="C6" s="155" t="s">
        <v>159</v>
      </c>
      <c r="D6" s="155" t="s">
        <v>160</v>
      </c>
      <c r="E6" s="156" t="s">
        <v>161</v>
      </c>
    </row>
    <row r="7" spans="1:5" ht="15.75" thickTop="1" x14ac:dyDescent="0.25">
      <c r="A7" s="130" t="s">
        <v>162</v>
      </c>
      <c r="B7" s="160">
        <v>400</v>
      </c>
      <c r="C7" s="126">
        <f>B7/B8/21000</f>
        <v>3.8095238095238095E-3</v>
      </c>
      <c r="D7" s="127"/>
      <c r="E7" s="131">
        <f>1/C7*100</f>
        <v>26250</v>
      </c>
    </row>
    <row r="8" spans="1:5" x14ac:dyDescent="0.25">
      <c r="A8" s="132" t="s">
        <v>163</v>
      </c>
      <c r="B8" s="160">
        <v>5</v>
      </c>
      <c r="C8" s="126"/>
      <c r="D8" s="127">
        <f>10/(B8*0.7)/21000</f>
        <v>1.3605442176870748E-4</v>
      </c>
      <c r="E8" s="131">
        <f>1/D8+100</f>
        <v>7450</v>
      </c>
    </row>
    <row r="9" spans="1:5" ht="15.75" thickBot="1" x14ac:dyDescent="0.3">
      <c r="A9" s="133" t="s">
        <v>164</v>
      </c>
      <c r="B9" s="126">
        <f>B8*0.7*36</f>
        <v>126</v>
      </c>
      <c r="C9" s="126"/>
      <c r="D9" s="127"/>
      <c r="E9" s="134"/>
    </row>
    <row r="10" spans="1:5" ht="16.5" thickTop="1" thickBot="1" x14ac:dyDescent="0.3">
      <c r="A10" s="150" t="s">
        <v>165</v>
      </c>
      <c r="B10" s="135"/>
      <c r="C10" s="135"/>
      <c r="D10" s="135"/>
      <c r="E10" s="159">
        <f>1/(C7+D8)*100</f>
        <v>25344.827586206895</v>
      </c>
    </row>
    <row r="11" spans="1:5" ht="16.5" thickTop="1" thickBot="1" x14ac:dyDescent="0.3">
      <c r="A11" s="128"/>
      <c r="B11" s="129"/>
      <c r="C11" s="129"/>
      <c r="D11" s="129"/>
      <c r="E11" s="105"/>
    </row>
    <row r="12" spans="1:5" ht="16.5" thickTop="1" thickBot="1" x14ac:dyDescent="0.3">
      <c r="A12" s="148" t="s">
        <v>157</v>
      </c>
      <c r="B12" s="152"/>
      <c r="C12" s="153"/>
      <c r="D12" s="153"/>
      <c r="E12" s="154"/>
    </row>
    <row r="13" spans="1:5" ht="16.5" thickTop="1" thickBot="1" x14ac:dyDescent="0.3">
      <c r="A13" s="149" t="s">
        <v>166</v>
      </c>
      <c r="B13" s="151"/>
      <c r="C13" s="155" t="s">
        <v>159</v>
      </c>
      <c r="D13" s="155" t="s">
        <v>160</v>
      </c>
      <c r="E13" s="156" t="s">
        <v>161</v>
      </c>
    </row>
    <row r="14" spans="1:5" ht="15.75" thickTop="1" x14ac:dyDescent="0.25">
      <c r="A14" s="130" t="s">
        <v>162</v>
      </c>
      <c r="B14" s="160">
        <v>400</v>
      </c>
      <c r="C14" s="126">
        <f>B14/B15/21000</f>
        <v>1.9047619047619048E-3</v>
      </c>
      <c r="D14" s="127"/>
      <c r="E14" s="131">
        <f>1/C14*100</f>
        <v>52500</v>
      </c>
    </row>
    <row r="15" spans="1:5" x14ac:dyDescent="0.25">
      <c r="A15" s="132" t="s">
        <v>163</v>
      </c>
      <c r="B15" s="160">
        <v>10</v>
      </c>
      <c r="C15" s="126"/>
      <c r="D15" s="127">
        <f>10/(B15*0.7)/21000</f>
        <v>6.802721088435374E-5</v>
      </c>
      <c r="E15" s="131">
        <f>1/D15*100</f>
        <v>1470000</v>
      </c>
    </row>
    <row r="16" spans="1:5" ht="15.75" thickBot="1" x14ac:dyDescent="0.3">
      <c r="A16" s="133" t="s">
        <v>164</v>
      </c>
      <c r="B16" s="126">
        <f>B15*0.7*36</f>
        <v>252</v>
      </c>
      <c r="C16" s="126"/>
      <c r="D16" s="127"/>
      <c r="E16" s="134"/>
    </row>
    <row r="17" spans="1:5" ht="16.5" thickTop="1" thickBot="1" x14ac:dyDescent="0.3">
      <c r="A17" s="150" t="s">
        <v>165</v>
      </c>
      <c r="B17" s="135"/>
      <c r="C17" s="135"/>
      <c r="D17" s="135"/>
      <c r="E17" s="159">
        <f>1/(C14+D15)*100</f>
        <v>50689.65517241379</v>
      </c>
    </row>
    <row r="18" spans="1:5" ht="16.5" thickTop="1" thickBot="1" x14ac:dyDescent="0.3">
      <c r="A18" s="128"/>
      <c r="B18" s="129"/>
      <c r="C18" s="129"/>
      <c r="D18" s="129"/>
      <c r="E18" s="105"/>
    </row>
    <row r="19" spans="1:5" ht="16.5" thickTop="1" thickBot="1" x14ac:dyDescent="0.3">
      <c r="A19" s="148" t="s">
        <v>157</v>
      </c>
      <c r="B19" s="152"/>
      <c r="C19" s="153"/>
      <c r="D19" s="153"/>
      <c r="E19" s="154"/>
    </row>
    <row r="20" spans="1:5" ht="16.5" thickTop="1" thickBot="1" x14ac:dyDescent="0.3">
      <c r="A20" s="149" t="s">
        <v>167</v>
      </c>
      <c r="B20" s="151"/>
      <c r="C20" s="155" t="s">
        <v>159</v>
      </c>
      <c r="D20" s="155" t="s">
        <v>160</v>
      </c>
      <c r="E20" s="156" t="s">
        <v>161</v>
      </c>
    </row>
    <row r="21" spans="1:5" ht="15.75" thickTop="1" x14ac:dyDescent="0.25">
      <c r="A21" s="130" t="s">
        <v>162</v>
      </c>
      <c r="B21" s="160">
        <v>400</v>
      </c>
      <c r="C21" s="126">
        <f>B21/B22/21000</f>
        <v>1.2698412698412698E-3</v>
      </c>
      <c r="D21" s="127"/>
      <c r="E21" s="131">
        <f>1/C21*100</f>
        <v>78750</v>
      </c>
    </row>
    <row r="22" spans="1:5" x14ac:dyDescent="0.25">
      <c r="A22" s="132" t="s">
        <v>163</v>
      </c>
      <c r="B22" s="160">
        <v>15</v>
      </c>
      <c r="C22" s="126"/>
      <c r="D22" s="127">
        <f>10/(B22*0.7)/21000</f>
        <v>4.5351473922902488E-5</v>
      </c>
      <c r="E22" s="131">
        <f>1/D22*100</f>
        <v>2205000.0000000005</v>
      </c>
    </row>
    <row r="23" spans="1:5" ht="15.75" thickBot="1" x14ac:dyDescent="0.3">
      <c r="A23" s="133" t="s">
        <v>164</v>
      </c>
      <c r="B23" s="126">
        <f>B22*0.7*36</f>
        <v>378</v>
      </c>
      <c r="C23" s="126"/>
      <c r="D23" s="127"/>
      <c r="E23" s="134"/>
    </row>
    <row r="24" spans="1:5" ht="16.5" thickTop="1" thickBot="1" x14ac:dyDescent="0.3">
      <c r="A24" s="150" t="s">
        <v>165</v>
      </c>
      <c r="B24" s="135"/>
      <c r="C24" s="135"/>
      <c r="D24" s="135"/>
      <c r="E24" s="159">
        <f>1/(C21+D22)*100</f>
        <v>76034.482758620681</v>
      </c>
    </row>
    <row r="25" spans="1:5" ht="15.75" thickTop="1" x14ac:dyDescent="0.25">
      <c r="A25" s="128"/>
      <c r="B25" s="129"/>
      <c r="C25" s="129"/>
      <c r="D25" s="129"/>
      <c r="E25" s="105"/>
    </row>
    <row r="26" spans="1:5" ht="15.75" thickBot="1" x14ac:dyDescent="0.3">
      <c r="A26" s="128"/>
      <c r="E26" s="105"/>
    </row>
    <row r="27" spans="1:5" ht="16.5" thickTop="1" thickBot="1" x14ac:dyDescent="0.3">
      <c r="A27" s="148" t="s">
        <v>168</v>
      </c>
      <c r="B27" s="152"/>
      <c r="C27" s="153"/>
      <c r="D27" s="153"/>
      <c r="E27" s="157"/>
    </row>
    <row r="28" spans="1:5" ht="16.5" thickTop="1" thickBot="1" x14ac:dyDescent="0.3">
      <c r="A28" s="149"/>
      <c r="B28" s="151"/>
      <c r="C28" s="155" t="s">
        <v>159</v>
      </c>
      <c r="D28" s="155" t="s">
        <v>160</v>
      </c>
      <c r="E28" s="158" t="s">
        <v>161</v>
      </c>
    </row>
    <row r="29" spans="1:5" ht="15.75" thickTop="1" x14ac:dyDescent="0.25">
      <c r="A29" s="130" t="s">
        <v>162</v>
      </c>
      <c r="B29" s="160">
        <v>100</v>
      </c>
      <c r="C29" s="126">
        <f>B29/B30/21000</f>
        <v>3.174603174603175E-3</v>
      </c>
      <c r="D29" s="127"/>
      <c r="E29" s="131">
        <f>1/C29*100</f>
        <v>31499.999999999993</v>
      </c>
    </row>
    <row r="30" spans="1:5" x14ac:dyDescent="0.25">
      <c r="A30" s="132" t="s">
        <v>163</v>
      </c>
      <c r="B30" s="160">
        <v>1.5</v>
      </c>
      <c r="C30" s="126"/>
      <c r="D30" s="127">
        <f>10/(B30*0.11)/21000</f>
        <v>2.886002886002886E-3</v>
      </c>
      <c r="E30" s="131">
        <f>1/D30*100</f>
        <v>34650</v>
      </c>
    </row>
    <row r="31" spans="1:5" ht="15.75" thickBot="1" x14ac:dyDescent="0.3">
      <c r="A31" s="133" t="s">
        <v>164</v>
      </c>
      <c r="B31" s="126">
        <f>B30*0.11*32</f>
        <v>5.28</v>
      </c>
      <c r="C31" s="126"/>
      <c r="D31" s="127"/>
      <c r="E31" s="134"/>
    </row>
    <row r="32" spans="1:5" ht="16.5" thickTop="1" thickBot="1" x14ac:dyDescent="0.3">
      <c r="A32" s="150" t="s">
        <v>165</v>
      </c>
      <c r="B32" s="135"/>
      <c r="C32" s="135"/>
      <c r="D32" s="135"/>
      <c r="E32" s="159">
        <f>1/(C29+D30)*100</f>
        <v>16499.999999999996</v>
      </c>
    </row>
    <row r="33" ht="15.75" thickTop="1" x14ac:dyDescent="0.25"/>
  </sheetData>
  <sheetProtection password="CE38" sheet="1" objects="1" scenarios="1"/>
  <pageMargins left="0.7" right="0.7" top="0.75" bottom="0.75" header="0.3" footer="0.3"/>
  <pageSetup paperSize="9" orientation="portrait" verticalDpi="0" r:id="rId1"/>
  <drawing r:id="rId2"/>
  <pictur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6"/>
  <sheetViews>
    <sheetView workbookViewId="0">
      <selection activeCell="S12" sqref="S12"/>
    </sheetView>
  </sheetViews>
  <sheetFormatPr defaultRowHeight="15" x14ac:dyDescent="0.25"/>
  <cols>
    <col min="1" max="1" width="5.7109375" customWidth="1"/>
    <col min="2" max="6" width="9.140625" customWidth="1"/>
  </cols>
  <sheetData>
    <row r="1" spans="1:31" x14ac:dyDescent="0.25">
      <c r="A1" s="99" t="s">
        <v>214</v>
      </c>
      <c r="B1" s="118" t="s">
        <v>185</v>
      </c>
      <c r="C1" s="118" t="s">
        <v>186</v>
      </c>
      <c r="D1" s="118" t="s">
        <v>187</v>
      </c>
      <c r="E1" s="99" t="s">
        <v>188</v>
      </c>
      <c r="F1" s="99" t="s">
        <v>189</v>
      </c>
      <c r="G1" s="118" t="s">
        <v>190</v>
      </c>
      <c r="H1" s="99" t="s">
        <v>191</v>
      </c>
      <c r="I1" s="99" t="s">
        <v>192</v>
      </c>
      <c r="J1" s="99" t="s">
        <v>193</v>
      </c>
      <c r="K1" s="99" t="s">
        <v>161</v>
      </c>
      <c r="L1" s="99" t="s">
        <v>194</v>
      </c>
      <c r="M1" s="99" t="s">
        <v>195</v>
      </c>
      <c r="N1" s="99" t="s">
        <v>196</v>
      </c>
      <c r="O1" s="99" t="s">
        <v>197</v>
      </c>
      <c r="P1" s="99"/>
      <c r="Q1" s="99" t="s">
        <v>198</v>
      </c>
      <c r="R1" s="99" t="s">
        <v>199</v>
      </c>
    </row>
    <row r="2" spans="1:31" x14ac:dyDescent="0.25">
      <c r="A2" s="118" t="s">
        <v>200</v>
      </c>
      <c r="B2" s="118">
        <v>0.2</v>
      </c>
      <c r="C2" s="118">
        <v>3.5</v>
      </c>
      <c r="D2" s="118">
        <v>6.4</v>
      </c>
      <c r="E2" s="118">
        <f t="shared" ref="E2:E10" si="0">B2*D2</f>
        <v>1.2800000000000002</v>
      </c>
      <c r="F2" s="118">
        <f t="shared" ref="F2:F10" si="1">ATAN(C2/D2)</f>
        <v>0.50044081314729416</v>
      </c>
      <c r="G2" s="118">
        <f t="shared" ref="G2:G10" si="2">230000</f>
        <v>230000</v>
      </c>
      <c r="H2" s="118">
        <v>0.1</v>
      </c>
      <c r="I2" s="118">
        <f t="shared" ref="I2:I10" si="3">G2/H2</f>
        <v>2300000</v>
      </c>
      <c r="J2" s="118">
        <f>C2/(E2*G2)*(1.2+H2*(C2/D2)^2)</f>
        <v>1.4621859011442762E-5</v>
      </c>
      <c r="K2" s="118">
        <f t="shared" ref="K2:K10" si="4">1/J2</f>
        <v>68390.756552735242</v>
      </c>
      <c r="L2" s="118">
        <f t="shared" ref="L2:L10" si="5">SQRT(C2^2+D2^2)</f>
        <v>7.2945184899347542</v>
      </c>
      <c r="M2" s="118">
        <f>K2/(COS(F2))^2</f>
        <v>88844.535062769588</v>
      </c>
      <c r="N2" s="118">
        <f>G2*E2*0.0033/C2</f>
        <v>277.57714285714292</v>
      </c>
      <c r="O2" s="118">
        <f>N2/COS(F2)</f>
        <v>316.37368764917022</v>
      </c>
      <c r="P2" s="118"/>
      <c r="Q2" s="118">
        <f>B2*C2*D2*15</f>
        <v>67.2</v>
      </c>
      <c r="R2" s="118">
        <f>Q2/9.81</f>
        <v>6.8501529051987768</v>
      </c>
      <c r="S2" s="5"/>
      <c r="T2" s="5"/>
      <c r="U2" s="5"/>
      <c r="V2" s="5"/>
      <c r="W2" s="5"/>
      <c r="X2" s="5"/>
      <c r="Y2" s="5"/>
      <c r="Z2" s="5"/>
      <c r="AA2" s="5"/>
      <c r="AB2" s="5"/>
      <c r="AC2" s="5"/>
      <c r="AD2" s="5"/>
      <c r="AE2" s="5"/>
    </row>
    <row r="3" spans="1:31" x14ac:dyDescent="0.25">
      <c r="A3" s="114" t="s">
        <v>201</v>
      </c>
      <c r="B3" s="114">
        <v>0.38</v>
      </c>
      <c r="C3" s="114">
        <f t="shared" ref="C3:C10" si="6">C2</f>
        <v>3.5</v>
      </c>
      <c r="D3" s="114">
        <v>4.08</v>
      </c>
      <c r="E3" s="114">
        <f t="shared" si="0"/>
        <v>1.5504</v>
      </c>
      <c r="F3" s="114">
        <f t="shared" si="1"/>
        <v>0.70902982335677256</v>
      </c>
      <c r="G3" s="114">
        <f t="shared" si="2"/>
        <v>230000</v>
      </c>
      <c r="H3" s="114">
        <v>0.1</v>
      </c>
      <c r="I3" s="114">
        <f t="shared" si="3"/>
        <v>2300000</v>
      </c>
      <c r="J3" s="114">
        <f t="shared" ref="J3:J10" si="7">C3/(E3*G3)*(1.2+H3*(C3/D3)^2)</f>
        <v>1.250045765706288E-5</v>
      </c>
      <c r="K3" s="114">
        <f t="shared" si="4"/>
        <v>79997.07110203203</v>
      </c>
      <c r="L3" s="114">
        <f t="shared" si="5"/>
        <v>5.3755371824590705</v>
      </c>
      <c r="M3" s="114">
        <f t="shared" ref="M3:M10" si="8">K3/(COS(F3))^2</f>
        <v>138866.50359193329</v>
      </c>
      <c r="N3" s="114">
        <f t="shared" ref="N3:N10" si="9">G3*E3*0.0033/C3</f>
        <v>336.21531428571427</v>
      </c>
      <c r="O3" s="114">
        <f t="shared" ref="O3:O10" si="10">N3/COS(F3)</f>
        <v>442.97498118995571</v>
      </c>
      <c r="P3" s="114"/>
      <c r="Q3" s="114">
        <f>B3*C3*D3*15</f>
        <v>81.396000000000001</v>
      </c>
      <c r="R3" s="114">
        <f>Q3/9.81</f>
        <v>8.2972477064220183</v>
      </c>
      <c r="S3" s="5"/>
      <c r="T3" s="5"/>
      <c r="U3" s="5"/>
      <c r="V3" s="5"/>
      <c r="W3" s="5"/>
      <c r="X3" s="5"/>
      <c r="Y3" s="5"/>
      <c r="Z3" s="5"/>
      <c r="AA3" s="5"/>
      <c r="AB3" s="5"/>
      <c r="AC3" s="5"/>
      <c r="AD3" s="5"/>
      <c r="AE3" s="5"/>
    </row>
    <row r="4" spans="1:31" x14ac:dyDescent="0.25">
      <c r="A4" s="115" t="s">
        <v>202</v>
      </c>
      <c r="B4" s="115">
        <v>0.38</v>
      </c>
      <c r="C4" s="115">
        <f t="shared" si="6"/>
        <v>3.5</v>
      </c>
      <c r="D4" s="115">
        <f>D2</f>
        <v>6.4</v>
      </c>
      <c r="E4" s="115">
        <f t="shared" si="0"/>
        <v>2.4320000000000004</v>
      </c>
      <c r="F4" s="115">
        <f t="shared" si="1"/>
        <v>0.50044081314729416</v>
      </c>
      <c r="G4" s="115">
        <f t="shared" si="2"/>
        <v>230000</v>
      </c>
      <c r="H4" s="115">
        <v>0.1</v>
      </c>
      <c r="I4" s="115">
        <f t="shared" si="3"/>
        <v>2300000</v>
      </c>
      <c r="J4" s="115">
        <f t="shared" si="7"/>
        <v>7.6957152691804003E-6</v>
      </c>
      <c r="K4" s="115">
        <f t="shared" si="4"/>
        <v>129942.43745019699</v>
      </c>
      <c r="L4" s="115">
        <f t="shared" si="5"/>
        <v>7.2945184899347542</v>
      </c>
      <c r="M4" s="115">
        <f t="shared" si="8"/>
        <v>168804.61661926226</v>
      </c>
      <c r="N4" s="115">
        <f t="shared" si="9"/>
        <v>527.39657142857152</v>
      </c>
      <c r="O4" s="115">
        <f t="shared" si="10"/>
        <v>601.11000653342342</v>
      </c>
      <c r="P4" s="115"/>
      <c r="Q4" s="115">
        <f t="shared" ref="Q4:Q15" si="11">B4*C4*D4*15</f>
        <v>127.68</v>
      </c>
      <c r="R4" s="115">
        <f t="shared" ref="R4:R15" si="12">Q4/9.81</f>
        <v>13.015290519877675</v>
      </c>
      <c r="S4" s="5"/>
      <c r="T4" s="5"/>
      <c r="U4" s="5"/>
      <c r="V4" s="5"/>
      <c r="W4" s="5"/>
      <c r="X4" s="5"/>
      <c r="Y4" s="5"/>
      <c r="Z4" s="5"/>
      <c r="AA4" s="5"/>
      <c r="AB4" s="5"/>
      <c r="AC4" s="5"/>
      <c r="AD4" s="5"/>
      <c r="AE4" s="5"/>
    </row>
    <row r="5" spans="1:31" x14ac:dyDescent="0.25">
      <c r="A5" s="115" t="s">
        <v>203</v>
      </c>
      <c r="B5" s="115">
        <v>0.38</v>
      </c>
      <c r="C5" s="115">
        <f t="shared" si="6"/>
        <v>3.5</v>
      </c>
      <c r="D5" s="115">
        <v>3.01</v>
      </c>
      <c r="E5" s="115">
        <f t="shared" si="0"/>
        <v>1.1437999999999999</v>
      </c>
      <c r="F5" s="115">
        <f t="shared" si="1"/>
        <v>0.86052531930821041</v>
      </c>
      <c r="G5" s="115">
        <f t="shared" si="2"/>
        <v>230000</v>
      </c>
      <c r="H5" s="115">
        <v>0.1</v>
      </c>
      <c r="I5" s="115">
        <f t="shared" si="3"/>
        <v>2300000</v>
      </c>
      <c r="J5" s="115">
        <f t="shared" si="7"/>
        <v>1.7763932476449049E-5</v>
      </c>
      <c r="K5" s="115">
        <f t="shared" si="4"/>
        <v>56293.841542449765</v>
      </c>
      <c r="L5" s="115">
        <f t="shared" si="5"/>
        <v>4.6162863862633134</v>
      </c>
      <c r="M5" s="115">
        <f t="shared" si="8"/>
        <v>132407.74303305248</v>
      </c>
      <c r="N5" s="115">
        <f t="shared" si="9"/>
        <v>248.04119999999998</v>
      </c>
      <c r="O5" s="115">
        <f t="shared" si="10"/>
        <v>380.40837700744703</v>
      </c>
      <c r="P5" s="115"/>
      <c r="Q5" s="115">
        <f t="shared" si="11"/>
        <v>60.049500000000002</v>
      </c>
      <c r="R5" s="115">
        <f t="shared" si="12"/>
        <v>6.1212538226299689</v>
      </c>
      <c r="S5" s="5"/>
      <c r="T5" s="5"/>
      <c r="U5" s="5"/>
      <c r="V5" s="5"/>
      <c r="W5" s="5"/>
      <c r="X5" s="5"/>
      <c r="Y5" s="5"/>
      <c r="Z5" s="5"/>
      <c r="AA5" s="5"/>
      <c r="AB5" s="5"/>
      <c r="AC5" s="5"/>
      <c r="AD5" s="5"/>
      <c r="AE5" s="5"/>
    </row>
    <row r="6" spans="1:31" x14ac:dyDescent="0.25">
      <c r="A6" s="99" t="s">
        <v>204</v>
      </c>
      <c r="B6" s="99">
        <v>0.38</v>
      </c>
      <c r="C6" s="99">
        <f t="shared" si="6"/>
        <v>3.5</v>
      </c>
      <c r="D6" s="99">
        <v>3.93</v>
      </c>
      <c r="E6" s="99">
        <f t="shared" si="0"/>
        <v>1.4934000000000001</v>
      </c>
      <c r="F6" s="99">
        <f t="shared" si="1"/>
        <v>0.72758916066074786</v>
      </c>
      <c r="G6" s="99">
        <f t="shared" si="2"/>
        <v>230000</v>
      </c>
      <c r="H6" s="99">
        <v>0.1</v>
      </c>
      <c r="I6" s="99">
        <f t="shared" si="3"/>
        <v>2300000</v>
      </c>
      <c r="J6" s="99">
        <f t="shared" si="7"/>
        <v>1.3035907923779769E-5</v>
      </c>
      <c r="K6" s="99">
        <f t="shared" si="4"/>
        <v>76711.189266366753</v>
      </c>
      <c r="L6" s="99">
        <f t="shared" si="5"/>
        <v>5.2625944172052632</v>
      </c>
      <c r="M6" s="99">
        <f t="shared" si="8"/>
        <v>137554.06092710866</v>
      </c>
      <c r="N6" s="99">
        <f t="shared" si="9"/>
        <v>323.85445714285714</v>
      </c>
      <c r="O6" s="99">
        <f t="shared" si="10"/>
        <v>433.66785194581195</v>
      </c>
      <c r="P6" s="99"/>
      <c r="Q6" s="99">
        <f t="shared" si="11"/>
        <v>78.403500000000008</v>
      </c>
      <c r="R6" s="99">
        <f t="shared" si="12"/>
        <v>7.992201834862386</v>
      </c>
      <c r="S6" s="5"/>
      <c r="T6" s="5"/>
      <c r="U6" s="5"/>
      <c r="V6" s="5"/>
      <c r="W6" s="5"/>
      <c r="X6" s="5"/>
      <c r="Y6" s="5"/>
      <c r="Z6" s="5"/>
      <c r="AA6" s="5"/>
      <c r="AB6" s="5"/>
      <c r="AC6" s="5"/>
      <c r="AD6" s="5"/>
      <c r="AE6" s="5"/>
    </row>
    <row r="7" spans="1:31" x14ac:dyDescent="0.25">
      <c r="A7" s="99" t="s">
        <v>205</v>
      </c>
      <c r="B7" s="99">
        <v>0.38</v>
      </c>
      <c r="C7" s="99">
        <f t="shared" si="6"/>
        <v>3.5</v>
      </c>
      <c r="D7" s="99">
        <v>3.23</v>
      </c>
      <c r="E7" s="99">
        <f t="shared" si="0"/>
        <v>1.2274</v>
      </c>
      <c r="F7" s="99">
        <f t="shared" si="1"/>
        <v>0.82549553079551941</v>
      </c>
      <c r="G7" s="99">
        <f t="shared" si="2"/>
        <v>230000</v>
      </c>
      <c r="H7" s="99">
        <v>0.1</v>
      </c>
      <c r="I7" s="99">
        <f t="shared" si="3"/>
        <v>2300000</v>
      </c>
      <c r="J7" s="99">
        <f t="shared" si="7"/>
        <v>1.6333428599941654E-5</v>
      </c>
      <c r="K7" s="99">
        <f t="shared" si="4"/>
        <v>61224.132697012072</v>
      </c>
      <c r="L7" s="99">
        <f t="shared" si="5"/>
        <v>4.7626568215650389</v>
      </c>
      <c r="M7" s="99">
        <f t="shared" si="8"/>
        <v>133111.68319000996</v>
      </c>
      <c r="N7" s="99">
        <f t="shared" si="9"/>
        <v>266.17045714285712</v>
      </c>
      <c r="O7" s="99">
        <f t="shared" si="10"/>
        <v>392.4701372787967</v>
      </c>
      <c r="P7" s="99"/>
      <c r="Q7" s="99">
        <f t="shared" si="11"/>
        <v>64.438500000000005</v>
      </c>
      <c r="R7" s="99">
        <f t="shared" si="12"/>
        <v>6.5686544342507647</v>
      </c>
      <c r="S7" s="5"/>
      <c r="T7" s="5"/>
      <c r="U7" s="5"/>
      <c r="V7" s="5"/>
      <c r="W7" s="5"/>
      <c r="X7" s="5"/>
      <c r="Y7" s="5"/>
      <c r="Z7" s="5"/>
      <c r="AA7" s="5"/>
      <c r="AB7" s="5"/>
      <c r="AC7" s="5"/>
      <c r="AD7" s="5"/>
      <c r="AE7" s="5"/>
    </row>
    <row r="8" spans="1:31" x14ac:dyDescent="0.25">
      <c r="A8" s="116" t="s">
        <v>206</v>
      </c>
      <c r="B8" s="116">
        <v>0.38</v>
      </c>
      <c r="C8" s="116">
        <f t="shared" si="6"/>
        <v>3.5</v>
      </c>
      <c r="D8" s="116">
        <v>5.25</v>
      </c>
      <c r="E8" s="116">
        <f t="shared" si="0"/>
        <v>1.9950000000000001</v>
      </c>
      <c r="F8" s="116">
        <f t="shared" si="1"/>
        <v>0.5880026035475675</v>
      </c>
      <c r="G8" s="116">
        <f t="shared" si="2"/>
        <v>230000</v>
      </c>
      <c r="H8" s="116">
        <v>0.1</v>
      </c>
      <c r="I8" s="116">
        <f t="shared" si="3"/>
        <v>2300000</v>
      </c>
      <c r="J8" s="116">
        <f t="shared" si="7"/>
        <v>9.4923298584625827E-6</v>
      </c>
      <c r="K8" s="116">
        <f t="shared" si="4"/>
        <v>105348.21428571428</v>
      </c>
      <c r="L8" s="116">
        <f t="shared" si="5"/>
        <v>6.3097147320619813</v>
      </c>
      <c r="M8" s="116">
        <f t="shared" si="8"/>
        <v>152169.64285714281</v>
      </c>
      <c r="N8" s="116">
        <f t="shared" si="9"/>
        <v>432.63</v>
      </c>
      <c r="O8" s="116">
        <f t="shared" si="10"/>
        <v>519.95654943466184</v>
      </c>
      <c r="P8" s="116"/>
      <c r="Q8" s="116">
        <f t="shared" si="11"/>
        <v>104.7375</v>
      </c>
      <c r="R8" s="116">
        <f t="shared" si="12"/>
        <v>10.676605504587155</v>
      </c>
      <c r="S8" s="5"/>
      <c r="T8" s="5"/>
      <c r="U8" s="5"/>
      <c r="V8" s="5"/>
      <c r="W8" s="5"/>
      <c r="X8" s="5"/>
      <c r="Y8" s="5"/>
      <c r="Z8" s="5"/>
      <c r="AA8" s="5"/>
      <c r="AB8" s="5"/>
      <c r="AC8" s="5"/>
      <c r="AD8" s="5"/>
      <c r="AE8" s="5"/>
    </row>
    <row r="9" spans="1:31" x14ac:dyDescent="0.25">
      <c r="A9" s="116" t="s">
        <v>207</v>
      </c>
      <c r="B9" s="116">
        <v>0.38</v>
      </c>
      <c r="C9" s="116">
        <f t="shared" si="6"/>
        <v>3.5</v>
      </c>
      <c r="D9" s="116">
        <v>1.05</v>
      </c>
      <c r="E9" s="116">
        <f t="shared" si="0"/>
        <v>0.39900000000000002</v>
      </c>
      <c r="F9" s="116">
        <f t="shared" si="1"/>
        <v>1.2793395323170296</v>
      </c>
      <c r="G9" s="116">
        <f t="shared" si="2"/>
        <v>230000</v>
      </c>
      <c r="H9" s="116">
        <v>0.1</v>
      </c>
      <c r="I9" s="116">
        <f t="shared" si="3"/>
        <v>2300000</v>
      </c>
      <c r="J9" s="116">
        <f t="shared" si="7"/>
        <v>8.8143062971438258E-5</v>
      </c>
      <c r="K9" s="116">
        <f t="shared" si="4"/>
        <v>11345.192307692309</v>
      </c>
      <c r="L9" s="116">
        <f t="shared" si="5"/>
        <v>3.6541072781186923</v>
      </c>
      <c r="M9" s="116">
        <f t="shared" si="8"/>
        <v>137402.88461538465</v>
      </c>
      <c r="N9" s="116">
        <f t="shared" si="9"/>
        <v>86.525999999999996</v>
      </c>
      <c r="O9" s="116">
        <f t="shared" si="10"/>
        <v>301.11932032999812</v>
      </c>
      <c r="P9" s="116"/>
      <c r="Q9" s="116">
        <f t="shared" si="11"/>
        <v>20.947500000000002</v>
      </c>
      <c r="R9" s="116">
        <f t="shared" si="12"/>
        <v>2.1353211009174311</v>
      </c>
      <c r="S9" s="5"/>
      <c r="T9" s="5"/>
      <c r="U9" s="5"/>
      <c r="V9" s="5"/>
      <c r="W9" s="5"/>
      <c r="X9" s="5"/>
      <c r="Y9" s="5"/>
      <c r="Z9" s="5"/>
      <c r="AA9" s="5"/>
      <c r="AB9" s="5"/>
      <c r="AC9" s="5"/>
      <c r="AD9" s="5"/>
      <c r="AE9" s="5"/>
    </row>
    <row r="10" spans="1:31" x14ac:dyDescent="0.25">
      <c r="A10" s="99" t="s">
        <v>215</v>
      </c>
      <c r="B10" s="99">
        <v>0.38</v>
      </c>
      <c r="C10" s="99">
        <f t="shared" si="6"/>
        <v>3.5</v>
      </c>
      <c r="D10" s="99">
        <v>4.25</v>
      </c>
      <c r="E10" s="99">
        <f t="shared" si="0"/>
        <v>1.615</v>
      </c>
      <c r="F10" s="99">
        <f t="shared" si="1"/>
        <v>0.68892438821486135</v>
      </c>
      <c r="G10" s="99">
        <f t="shared" si="2"/>
        <v>230000</v>
      </c>
      <c r="H10" s="99">
        <v>0.1</v>
      </c>
      <c r="I10" s="99">
        <f t="shared" si="3"/>
        <v>2300000</v>
      </c>
      <c r="J10" s="99">
        <f t="shared" si="7"/>
        <v>1.1946076839990665E-5</v>
      </c>
      <c r="K10" s="99">
        <f t="shared" si="4"/>
        <v>83709.490018714918</v>
      </c>
      <c r="L10" s="99">
        <f t="shared" si="5"/>
        <v>5.5056788863863098</v>
      </c>
      <c r="M10" s="99">
        <f t="shared" si="8"/>
        <v>140481.32407985031</v>
      </c>
      <c r="N10" s="99">
        <f t="shared" si="9"/>
        <v>350.22428571428571</v>
      </c>
      <c r="O10" s="99">
        <f t="shared" si="10"/>
        <v>453.69940126043986</v>
      </c>
      <c r="P10" s="99"/>
      <c r="Q10" s="99">
        <f t="shared" si="11"/>
        <v>84.787499999999994</v>
      </c>
      <c r="R10" s="99">
        <f t="shared" si="12"/>
        <v>8.6429663608562688</v>
      </c>
      <c r="S10" s="5"/>
      <c r="T10" s="5"/>
      <c r="U10" s="5"/>
      <c r="V10" s="5"/>
      <c r="W10" s="5"/>
      <c r="X10" s="5"/>
      <c r="Y10" s="5"/>
      <c r="Z10" s="5"/>
      <c r="AA10" s="5"/>
      <c r="AB10" s="5"/>
      <c r="AC10" s="5"/>
      <c r="AD10" s="5"/>
      <c r="AE10" s="5"/>
    </row>
    <row r="11" spans="1:31" x14ac:dyDescent="0.25">
      <c r="A11" s="99"/>
      <c r="B11" s="99"/>
      <c r="C11" s="99"/>
      <c r="D11" s="99"/>
      <c r="E11" s="99"/>
      <c r="F11" s="99"/>
      <c r="G11" s="99"/>
      <c r="H11" s="99"/>
      <c r="I11" s="99"/>
      <c r="J11" s="99"/>
      <c r="K11" s="99"/>
      <c r="L11" s="99"/>
      <c r="M11" s="99"/>
      <c r="N11" s="99"/>
      <c r="O11" s="99"/>
      <c r="P11" s="99"/>
      <c r="Q11" s="99"/>
      <c r="R11" s="99"/>
    </row>
    <row r="12" spans="1:31" x14ac:dyDescent="0.25">
      <c r="A12" s="99" t="s">
        <v>210</v>
      </c>
      <c r="B12" s="99">
        <v>0.38</v>
      </c>
      <c r="C12" s="99">
        <f>C10</f>
        <v>3.5</v>
      </c>
      <c r="D12" s="99">
        <v>3.5</v>
      </c>
      <c r="E12" s="99">
        <f>B12*D12</f>
        <v>1.33</v>
      </c>
      <c r="F12" s="99">
        <f>ATAN(C12/D12)</f>
        <v>0.78539816339744828</v>
      </c>
      <c r="G12" s="99">
        <f>230000</f>
        <v>230000</v>
      </c>
      <c r="H12" s="99">
        <v>0.1</v>
      </c>
      <c r="I12" s="99">
        <f>G12/H12</f>
        <v>2300000</v>
      </c>
      <c r="J12" s="99">
        <f>C12/(E12*G12)*(1.2+H12*(C12/D12)^2)</f>
        <v>1.4874141876430206E-5</v>
      </c>
      <c r="K12" s="99">
        <f>1/J12</f>
        <v>67230.769230769234</v>
      </c>
      <c r="L12" s="99">
        <f>SQRT(C12^2+D12^2)</f>
        <v>4.9497474683058327</v>
      </c>
      <c r="M12" s="99">
        <f>K12/(COS(F12))^2</f>
        <v>134461.53846153844</v>
      </c>
      <c r="N12" s="99">
        <f>G12*E12*0.0033/C12</f>
        <v>288.42</v>
      </c>
      <c r="O12" s="99">
        <f>N12/COS(F12)</f>
        <v>407.88747565964809</v>
      </c>
      <c r="P12" s="99"/>
      <c r="Q12" s="99">
        <f t="shared" si="11"/>
        <v>69.825000000000003</v>
      </c>
      <c r="R12" s="99">
        <f t="shared" si="12"/>
        <v>7.117737003058104</v>
      </c>
    </row>
    <row r="13" spans="1:31" x14ac:dyDescent="0.25">
      <c r="A13" s="99" t="s">
        <v>211</v>
      </c>
      <c r="B13" s="99">
        <v>0.38</v>
      </c>
      <c r="C13" s="99">
        <f>C12</f>
        <v>3.5</v>
      </c>
      <c r="D13" s="99">
        <v>3.25</v>
      </c>
      <c r="E13" s="99">
        <f>B13*D13</f>
        <v>1.2350000000000001</v>
      </c>
      <c r="F13" s="99">
        <f>ATAN(C13/D13)</f>
        <v>0.82241827927137834</v>
      </c>
      <c r="G13" s="99">
        <f>230000</f>
        <v>230000</v>
      </c>
      <c r="H13" s="99">
        <v>0.1</v>
      </c>
      <c r="I13" s="99">
        <f>G13/H13</f>
        <v>2300000</v>
      </c>
      <c r="J13" s="99">
        <f>C13/(E13*G13)*(1.2+H13*(C13/D13)^2)</f>
        <v>1.6215163385894434E-5</v>
      </c>
      <c r="K13" s="99">
        <f>1/J13</f>
        <v>61670.670606372041</v>
      </c>
      <c r="L13" s="99">
        <f>SQRT(C13^2+D13^2)</f>
        <v>4.7762432936356998</v>
      </c>
      <c r="M13" s="99">
        <f>K13/(COS(F13))^2</f>
        <v>133194.05190133609</v>
      </c>
      <c r="N13" s="99">
        <f>G13*E13*0.0033/C13</f>
        <v>267.81857142857143</v>
      </c>
      <c r="O13" s="99">
        <f>N13/COS(F13)</f>
        <v>393.58974021440247</v>
      </c>
      <c r="P13" s="99"/>
      <c r="Q13" s="99">
        <f t="shared" si="11"/>
        <v>64.837499999999991</v>
      </c>
      <c r="R13" s="99">
        <f t="shared" si="12"/>
        <v>6.6093272171253812</v>
      </c>
    </row>
    <row r="14" spans="1:31" x14ac:dyDescent="0.25">
      <c r="A14" s="99" t="s">
        <v>212</v>
      </c>
      <c r="B14" s="99">
        <v>0.38</v>
      </c>
      <c r="C14" s="99">
        <f>C12</f>
        <v>3.5</v>
      </c>
      <c r="D14" s="99">
        <v>4.75</v>
      </c>
      <c r="E14" s="99">
        <f>B14*D14</f>
        <v>1.8049999999999999</v>
      </c>
      <c r="F14" s="99">
        <f>ATAN(C14/D14)</f>
        <v>0.63502673539031373</v>
      </c>
      <c r="G14" s="99">
        <f>230000</f>
        <v>230000</v>
      </c>
      <c r="H14" s="99">
        <v>0.1</v>
      </c>
      <c r="I14" s="99">
        <f>G14/H14</f>
        <v>2300000</v>
      </c>
      <c r="J14" s="99">
        <f>C14/(E14*G14)*(1.2+H14*(C14/D14)^2)</f>
        <v>1.0574557872650908E-5</v>
      </c>
      <c r="K14" s="99">
        <f>1/J14</f>
        <v>94566.601463907136</v>
      </c>
      <c r="L14" s="99">
        <f>SQRT(C14^2+D14^2)</f>
        <v>5.9002118606029734</v>
      </c>
      <c r="M14" s="99">
        <f>K14/(COS(F14))^2</f>
        <v>145910.24103987886</v>
      </c>
      <c r="N14" s="99">
        <f>G14*E14*0.0033/C14</f>
        <v>391.42714285714283</v>
      </c>
      <c r="O14" s="99">
        <f>N14/COS(F14)</f>
        <v>486.2111728100312</v>
      </c>
      <c r="P14" s="99"/>
      <c r="Q14" s="99">
        <f t="shared" si="11"/>
        <v>94.762500000000017</v>
      </c>
      <c r="R14" s="99">
        <f t="shared" si="12"/>
        <v>9.6597859327217144</v>
      </c>
    </row>
    <row r="15" spans="1:31" x14ac:dyDescent="0.25">
      <c r="A15" s="99" t="s">
        <v>213</v>
      </c>
      <c r="B15" s="99">
        <v>0.38</v>
      </c>
      <c r="C15" s="99">
        <f>C13</f>
        <v>3.5</v>
      </c>
      <c r="D15" s="99">
        <v>4.95</v>
      </c>
      <c r="E15" s="99">
        <f>B15*D15</f>
        <v>1.881</v>
      </c>
      <c r="F15" s="99">
        <f>ATAN(C15/D15)</f>
        <v>0.61545565885085241</v>
      </c>
      <c r="G15" s="99">
        <f>230000</f>
        <v>230000</v>
      </c>
      <c r="H15" s="99">
        <v>0.1</v>
      </c>
      <c r="I15" s="99">
        <f>G15/H15</f>
        <v>2300000</v>
      </c>
      <c r="J15" s="99">
        <f>C15/(E15*G15)*(1.2+H15*(C15/D15)^2)</f>
        <v>1.0112526049231709E-5</v>
      </c>
      <c r="K15" s="99">
        <f>1/J15</f>
        <v>98887.260723147818</v>
      </c>
      <c r="L15" s="99">
        <f>SQRT(C15^2+D15^2)</f>
        <v>6.0623840195091567</v>
      </c>
      <c r="M15" s="99">
        <f>K15/(COS(F15))^2</f>
        <v>148325.84633108825</v>
      </c>
      <c r="N15" s="99">
        <f>G15*E15*0.0033/C15</f>
        <v>407.90828571428574</v>
      </c>
      <c r="O15" s="99">
        <f>N15/COS(F15)</f>
        <v>499.5750854019517</v>
      </c>
      <c r="P15" s="99"/>
      <c r="Q15" s="99">
        <f t="shared" si="11"/>
        <v>98.752500000000012</v>
      </c>
      <c r="R15" s="99">
        <f t="shared" si="12"/>
        <v>10.06651376146789</v>
      </c>
    </row>
    <row r="17" spans="7:20" x14ac:dyDescent="0.25">
      <c r="M17" t="s">
        <v>216</v>
      </c>
      <c r="N17" t="s">
        <v>216</v>
      </c>
      <c r="O17" t="s">
        <v>216</v>
      </c>
      <c r="P17" t="s">
        <v>217</v>
      </c>
    </row>
    <row r="18" spans="7:20" x14ac:dyDescent="0.25">
      <c r="G18" s="99">
        <f>G15/1000</f>
        <v>230</v>
      </c>
      <c r="H18" s="99"/>
      <c r="I18" s="99"/>
      <c r="J18" s="99" t="s">
        <v>218</v>
      </c>
      <c r="K18" s="99"/>
      <c r="L18" s="99" t="s">
        <v>219</v>
      </c>
      <c r="M18" s="99">
        <v>1</v>
      </c>
      <c r="N18" s="99">
        <v>2</v>
      </c>
      <c r="O18" s="99">
        <v>3</v>
      </c>
      <c r="P18" s="99">
        <v>4</v>
      </c>
      <c r="Q18" s="99" t="s">
        <v>220</v>
      </c>
      <c r="R18" s="99"/>
      <c r="S18" s="99"/>
      <c r="T18" s="99"/>
    </row>
    <row r="19" spans="7:20" x14ac:dyDescent="0.25">
      <c r="G19" s="99">
        <f>I15/1000</f>
        <v>2300</v>
      </c>
      <c r="H19" s="99"/>
      <c r="I19" s="99"/>
      <c r="J19" s="99"/>
      <c r="K19" s="99"/>
      <c r="L19" s="99" t="s">
        <v>187</v>
      </c>
      <c r="M19" s="99">
        <v>1</v>
      </c>
      <c r="N19" s="99">
        <v>2</v>
      </c>
      <c r="O19" s="99">
        <v>3</v>
      </c>
      <c r="P19" s="99">
        <v>4</v>
      </c>
      <c r="Q19" s="99"/>
      <c r="R19" s="99"/>
      <c r="S19" s="99"/>
      <c r="T19" s="99"/>
    </row>
    <row r="20" spans="7:20" x14ac:dyDescent="0.25">
      <c r="G20" s="99"/>
      <c r="H20" s="99"/>
      <c r="I20" s="99"/>
      <c r="J20" s="99"/>
      <c r="K20" s="99"/>
      <c r="L20" s="99" t="s">
        <v>186</v>
      </c>
      <c r="M20" s="99">
        <v>3.06</v>
      </c>
      <c r="N20" s="99">
        <v>3.06</v>
      </c>
      <c r="O20" s="99">
        <v>3.06</v>
      </c>
      <c r="P20" s="99">
        <v>3.06</v>
      </c>
      <c r="Q20" s="99"/>
      <c r="R20" s="99"/>
      <c r="S20" s="99"/>
      <c r="T20" s="99"/>
    </row>
    <row r="21" spans="7:20" x14ac:dyDescent="0.25">
      <c r="G21" s="99"/>
      <c r="H21" s="99"/>
      <c r="I21" s="99"/>
      <c r="J21" s="99"/>
      <c r="K21" s="99"/>
      <c r="L21" s="99" t="s">
        <v>189</v>
      </c>
      <c r="M21" s="99">
        <f>ATAN(M20/M19)</f>
        <v>1.2549396137785165</v>
      </c>
      <c r="N21" s="99">
        <f>ATAN(N20/N19)</f>
        <v>0.99189817577687711</v>
      </c>
      <c r="O21" s="99">
        <f>ATAN(O20/O19)</f>
        <v>0.79529882998543688</v>
      </c>
      <c r="P21" s="99">
        <f>ATAN(P20/P19)</f>
        <v>0.65303219428290871</v>
      </c>
      <c r="Q21" s="99">
        <v>0</v>
      </c>
      <c r="R21" s="99"/>
      <c r="S21" s="99"/>
      <c r="T21" s="99"/>
    </row>
    <row r="22" spans="7:20" x14ac:dyDescent="0.25">
      <c r="G22" s="99" t="e">
        <f>[1]Sheet1!$A$48</f>
        <v>#REF!</v>
      </c>
      <c r="H22" s="99"/>
      <c r="I22" s="99"/>
      <c r="J22" s="99"/>
      <c r="K22" s="99"/>
      <c r="L22" s="99" t="s">
        <v>72</v>
      </c>
      <c r="M22" s="99">
        <f>SQRT(M19^2+M20^2)</f>
        <v>3.2192545721020571</v>
      </c>
      <c r="N22" s="99">
        <f>SQRT(N19^2+N20^2)</f>
        <v>3.655625801418958</v>
      </c>
      <c r="O22" s="99">
        <f>SQRT(O19^2+O20^2)</f>
        <v>4.2852771205605826</v>
      </c>
      <c r="P22" s="99">
        <f>SQRT(P19^2+P20^2)</f>
        <v>5.0362287477834045</v>
      </c>
      <c r="Q22" s="99">
        <v>1</v>
      </c>
      <c r="R22" s="99"/>
      <c r="S22" s="99"/>
      <c r="T22" s="99"/>
    </row>
    <row r="23" spans="7:20" x14ac:dyDescent="0.25">
      <c r="G23" s="99"/>
      <c r="H23" s="99"/>
      <c r="I23" s="99"/>
      <c r="J23" s="99"/>
      <c r="K23" s="99"/>
      <c r="L23" s="99" t="s">
        <v>221</v>
      </c>
      <c r="M23" s="99"/>
      <c r="N23" s="99"/>
      <c r="O23" s="99"/>
      <c r="P23" s="99"/>
      <c r="Q23" s="99">
        <f>M24*M22</f>
        <v>214872.36566952392</v>
      </c>
      <c r="R23" s="99">
        <f>N24*N22</f>
        <v>243998.39974150978</v>
      </c>
      <c r="S23" s="99">
        <f>O24*O22</f>
        <v>286025.10668893665</v>
      </c>
      <c r="T23" s="99">
        <f>P24*P22</f>
        <v>336148.12399955111</v>
      </c>
    </row>
    <row r="24" spans="7:20" x14ac:dyDescent="0.25">
      <c r="G24" s="99"/>
      <c r="H24" s="99"/>
      <c r="I24" s="99"/>
      <c r="J24" s="99"/>
      <c r="K24" s="99"/>
      <c r="L24" s="99" t="s">
        <v>222</v>
      </c>
      <c r="M24" s="99">
        <v>66746</v>
      </c>
      <c r="N24" s="99">
        <v>66746</v>
      </c>
      <c r="O24" s="99">
        <v>66746</v>
      </c>
      <c r="P24" s="99">
        <v>66746</v>
      </c>
      <c r="Q24" s="99"/>
      <c r="R24" s="99"/>
      <c r="S24" s="99"/>
      <c r="T24" s="99"/>
    </row>
    <row r="27" spans="7:20" x14ac:dyDescent="0.25">
      <c r="N27">
        <f>COS(M21)</f>
        <v>0.3106309170656969</v>
      </c>
      <c r="O27">
        <f>COS(N21)</f>
        <v>0.54710194878909246</v>
      </c>
      <c r="P27">
        <f>COS(O21)</f>
        <v>0.7000714109260574</v>
      </c>
      <c r="Q27">
        <f>COS(P21)</f>
        <v>0.79424509892655681</v>
      </c>
    </row>
    <row r="29" spans="7:20" x14ac:dyDescent="0.25">
      <c r="G29" s="99" t="s">
        <v>188</v>
      </c>
      <c r="H29" s="99">
        <v>4.53</v>
      </c>
      <c r="I29" s="99">
        <v>4.1399999999999997</v>
      </c>
      <c r="J29" s="99">
        <f>G34</f>
        <v>12.959069696057897</v>
      </c>
      <c r="K29" s="99"/>
      <c r="L29" s="99"/>
      <c r="M29" s="99"/>
      <c r="N29" s="99"/>
      <c r="O29" s="99"/>
      <c r="P29" s="99"/>
      <c r="Q29" s="99"/>
    </row>
    <row r="30" spans="7:20" x14ac:dyDescent="0.25">
      <c r="G30" s="99" t="s">
        <v>192</v>
      </c>
      <c r="H30" s="99">
        <v>240000000</v>
      </c>
      <c r="I30" s="99">
        <v>240000000</v>
      </c>
      <c r="J30" s="99">
        <v>240000000</v>
      </c>
      <c r="K30" s="99"/>
      <c r="L30" s="99"/>
      <c r="M30" s="99"/>
      <c r="N30" s="99"/>
      <c r="O30" s="99"/>
      <c r="P30" s="99"/>
      <c r="Q30" s="99"/>
    </row>
    <row r="31" spans="7:20" x14ac:dyDescent="0.25">
      <c r="G31" s="99" t="s">
        <v>72</v>
      </c>
      <c r="H31" s="99">
        <f>M22</f>
        <v>3.2192545721020571</v>
      </c>
      <c r="I31" s="99">
        <f>H31</f>
        <v>3.2192545721020571</v>
      </c>
      <c r="J31" s="99">
        <f>I31</f>
        <v>3.2192545721020571</v>
      </c>
      <c r="K31" s="99"/>
      <c r="L31" s="99"/>
      <c r="M31" s="99"/>
      <c r="N31" s="99"/>
      <c r="O31" s="99"/>
      <c r="P31" s="99"/>
      <c r="Q31" s="99"/>
    </row>
    <row r="32" spans="7:20" x14ac:dyDescent="0.25">
      <c r="G32" s="99"/>
      <c r="H32" s="99">
        <f>H30*H29/H31/10000</f>
        <v>33771.793303382576</v>
      </c>
      <c r="I32" s="99">
        <f>I30*I29/I31/10000</f>
        <v>30864.287919647653</v>
      </c>
      <c r="J32" s="99">
        <f>J30*J29/J31/10000</f>
        <v>96611.704896113952</v>
      </c>
      <c r="K32" s="99"/>
      <c r="L32" s="99"/>
      <c r="M32" s="99"/>
      <c r="N32" s="99"/>
      <c r="O32" s="99"/>
      <c r="P32" s="99"/>
      <c r="Q32" s="99"/>
    </row>
    <row r="33" spans="2:17" x14ac:dyDescent="0.25">
      <c r="G33" s="99"/>
      <c r="H33" s="99"/>
      <c r="I33" s="99"/>
      <c r="J33" s="99"/>
      <c r="K33" s="99"/>
      <c r="L33" s="99"/>
      <c r="M33" s="99"/>
      <c r="N33" s="99"/>
      <c r="O33" s="99"/>
      <c r="P33" s="99"/>
      <c r="Q33" s="99"/>
    </row>
    <row r="34" spans="2:17" x14ac:dyDescent="0.25">
      <c r="G34" s="99">
        <f>82.5*5*PI()/100</f>
        <v>12.959069696057897</v>
      </c>
      <c r="H34" s="99"/>
      <c r="I34" s="99" t="s">
        <v>188</v>
      </c>
      <c r="J34" s="99">
        <v>4.53</v>
      </c>
      <c r="K34" s="99">
        <v>4.1399999999999997</v>
      </c>
      <c r="L34" s="99">
        <f>G34</f>
        <v>12.959069696057897</v>
      </c>
      <c r="M34" s="99"/>
      <c r="N34" s="99" t="s">
        <v>188</v>
      </c>
      <c r="O34" s="99">
        <v>4.53</v>
      </c>
      <c r="P34" s="99">
        <v>4.1399999999999997</v>
      </c>
      <c r="Q34" s="99">
        <f>G34</f>
        <v>12.959069696057897</v>
      </c>
    </row>
    <row r="35" spans="2:17" x14ac:dyDescent="0.25">
      <c r="G35" s="99"/>
      <c r="H35" s="99"/>
      <c r="I35" s="99" t="s">
        <v>192</v>
      </c>
      <c r="J35" s="99">
        <v>240000000</v>
      </c>
      <c r="K35" s="99">
        <v>240000000</v>
      </c>
      <c r="L35" s="99">
        <v>240000000</v>
      </c>
      <c r="M35" s="99"/>
      <c r="N35" s="99" t="s">
        <v>192</v>
      </c>
      <c r="O35" s="99">
        <v>240000000</v>
      </c>
      <c r="P35" s="99">
        <v>240000000</v>
      </c>
      <c r="Q35" s="99">
        <v>240000000</v>
      </c>
    </row>
    <row r="36" spans="2:17" x14ac:dyDescent="0.25">
      <c r="G36" s="99"/>
      <c r="H36" s="99"/>
      <c r="I36" s="99" t="s">
        <v>72</v>
      </c>
      <c r="J36" s="99">
        <f>N22</f>
        <v>3.655625801418958</v>
      </c>
      <c r="K36" s="99">
        <f>N22</f>
        <v>3.655625801418958</v>
      </c>
      <c r="L36" s="99">
        <f>N22</f>
        <v>3.655625801418958</v>
      </c>
      <c r="M36" s="99"/>
      <c r="N36" s="99" t="s">
        <v>72</v>
      </c>
      <c r="O36" s="99">
        <f>O22</f>
        <v>4.2852771205605826</v>
      </c>
      <c r="P36" s="99">
        <f>O22</f>
        <v>4.2852771205605826</v>
      </c>
      <c r="Q36" s="99">
        <f>O22</f>
        <v>4.2852771205605826</v>
      </c>
    </row>
    <row r="37" spans="2:17" x14ac:dyDescent="0.25">
      <c r="G37" s="99"/>
      <c r="H37" s="99"/>
      <c r="I37" s="99"/>
      <c r="J37" s="99">
        <f>J35*J34/J36/10000</f>
        <v>29740.461936175067</v>
      </c>
      <c r="K37" s="99">
        <f>K35*K34/K36/10000</f>
        <v>27180.024815842109</v>
      </c>
      <c r="L37" s="99">
        <f>L35*L34/L36/10000</f>
        <v>85079.187422483388</v>
      </c>
      <c r="M37" s="99"/>
      <c r="N37" s="99"/>
      <c r="O37" s="99">
        <f>O35*O34/O36/10000</f>
        <v>25370.587931960323</v>
      </c>
      <c r="P37" s="99">
        <f>P35*P34/P36/10000</f>
        <v>23186.365129871021</v>
      </c>
      <c r="Q37" s="99">
        <f>Q35*Q34/Q36/10000</f>
        <v>72578.193651266949</v>
      </c>
    </row>
    <row r="40" spans="2:17" x14ac:dyDescent="0.25">
      <c r="B40" s="119"/>
      <c r="C40" s="119"/>
      <c r="D40" s="119"/>
      <c r="E40" s="119"/>
      <c r="F40" s="119"/>
      <c r="G40" s="119"/>
      <c r="H40" s="119"/>
      <c r="I40" s="119"/>
      <c r="J40" s="119"/>
      <c r="K40" s="119"/>
    </row>
    <row r="42" spans="2:17" x14ac:dyDescent="0.25">
      <c r="C42" s="99"/>
      <c r="D42" s="99"/>
      <c r="E42" s="99">
        <v>5</v>
      </c>
      <c r="F42" s="120">
        <f>[2]Sheet1!$C$174</f>
        <v>3011.2443600000006</v>
      </c>
      <c r="G42" s="99" t="s">
        <v>223</v>
      </c>
      <c r="H42" s="99">
        <f>F42/[3]Sheet1!$H$130</f>
        <v>14.1608989630605</v>
      </c>
      <c r="I42" s="99"/>
      <c r="J42" s="99">
        <f>H42/9.81</f>
        <v>1.4435167138695719</v>
      </c>
      <c r="K42" s="99"/>
      <c r="L42" s="99"/>
      <c r="M42" s="99"/>
      <c r="N42" s="99"/>
    </row>
    <row r="43" spans="2:17" x14ac:dyDescent="0.25">
      <c r="C43" s="99"/>
      <c r="D43" s="99"/>
      <c r="E43" s="99">
        <v>4</v>
      </c>
      <c r="F43" s="120">
        <f>[2]Sheet1!$C$183</f>
        <v>2932.6099480000003</v>
      </c>
      <c r="G43" s="99" t="s">
        <v>223</v>
      </c>
      <c r="H43" s="99">
        <f>F43/[3]Sheet1!$H$130</f>
        <v>13.791106999929459</v>
      </c>
      <c r="I43" s="99"/>
      <c r="J43" s="99">
        <f>H43/9.81</f>
        <v>1.4058213047838388</v>
      </c>
      <c r="K43" s="99"/>
      <c r="L43" s="99"/>
      <c r="M43" s="99"/>
      <c r="N43" s="99"/>
    </row>
    <row r="44" spans="2:17" x14ac:dyDescent="0.25">
      <c r="C44" s="99"/>
      <c r="D44" s="99"/>
      <c r="E44" s="99"/>
      <c r="F44" s="99"/>
      <c r="G44" s="99"/>
      <c r="H44" s="99"/>
      <c r="I44" s="99"/>
      <c r="J44" s="99">
        <f>H44/9.81</f>
        <v>0</v>
      </c>
      <c r="K44" s="99"/>
      <c r="L44" s="99"/>
      <c r="M44" s="99"/>
      <c r="N44" s="99"/>
    </row>
    <row r="45" spans="2:17" x14ac:dyDescent="0.25">
      <c r="C45" s="117" t="s">
        <v>224</v>
      </c>
      <c r="D45" s="117" t="s">
        <v>225</v>
      </c>
      <c r="E45" s="99"/>
      <c r="F45" s="99"/>
      <c r="G45" s="99"/>
      <c r="H45" s="99"/>
      <c r="I45" s="99"/>
      <c r="J45" s="99"/>
      <c r="K45" s="99"/>
      <c r="L45" s="99"/>
      <c r="M45" s="99"/>
      <c r="N45" s="99"/>
    </row>
    <row r="46" spans="2:17" x14ac:dyDescent="0.25">
      <c r="C46" s="99">
        <f>15.3</f>
        <v>15.3</v>
      </c>
      <c r="D46" s="99">
        <f>C46/600</f>
        <v>2.5500000000000002E-2</v>
      </c>
      <c r="E46" s="99"/>
      <c r="F46" s="99"/>
      <c r="G46" s="99"/>
      <c r="H46" s="99"/>
      <c r="I46" s="99"/>
      <c r="J46" s="99"/>
      <c r="K46" s="99">
        <v>5</v>
      </c>
      <c r="L46" s="99">
        <v>4321</v>
      </c>
      <c r="M46" s="99">
        <v>5</v>
      </c>
      <c r="N46" s="99">
        <v>4321</v>
      </c>
    </row>
    <row r="47" spans="2:17" x14ac:dyDescent="0.25">
      <c r="C47" s="99">
        <v>9.18</v>
      </c>
      <c r="D47" s="99">
        <f>C47/600</f>
        <v>1.5299999999999999E-2</v>
      </c>
      <c r="E47" s="99"/>
      <c r="F47" s="99"/>
      <c r="G47" s="99">
        <f>[1]Sheet1!$C$9+([1]Sheet1!$F$16*[2]Sheet1!$C$139+[1]Sheet1!$F$17*[2]Sheet1!$C$139)/[2]Sheet1!$H$130+[1]Sheet1!$F$18/[2]Sheet1!$H$130+[1]Sheet1!$F$40/2</f>
        <v>4.9109105297818996</v>
      </c>
      <c r="H47" s="99">
        <f>G47/9.81</f>
        <v>0.50060250048745147</v>
      </c>
      <c r="I47" s="99"/>
      <c r="J47" s="99" t="s">
        <v>226</v>
      </c>
      <c r="K47" s="99">
        <f>[1]Sheet1!$C$9</f>
        <v>0.9</v>
      </c>
      <c r="L47" s="99"/>
      <c r="M47" s="99"/>
      <c r="N47" s="99"/>
    </row>
    <row r="48" spans="2:17" x14ac:dyDescent="0.25">
      <c r="C48" s="99"/>
      <c r="D48" s="99"/>
      <c r="E48" s="99"/>
      <c r="F48" s="99"/>
      <c r="G48" s="99"/>
      <c r="H48" s="99"/>
      <c r="I48" s="99"/>
      <c r="J48" s="99" t="s">
        <v>227</v>
      </c>
      <c r="K48" s="99">
        <f>[1]Sheet1!$F$16*[2]Sheet1!$C$139/[2]Sheet1!$H$130</f>
        <v>2.4151272572317195</v>
      </c>
      <c r="L48" s="99"/>
      <c r="M48" s="99"/>
      <c r="N48" s="99"/>
    </row>
    <row r="49" spans="1:18" x14ac:dyDescent="0.25">
      <c r="C49" s="99"/>
      <c r="D49" s="99"/>
      <c r="E49" s="99"/>
      <c r="F49" s="99"/>
      <c r="G49" s="99"/>
      <c r="H49" s="99"/>
      <c r="I49" s="99"/>
      <c r="J49" s="99" t="s">
        <v>228</v>
      </c>
      <c r="K49" s="99">
        <f>[1]Sheet1!$F$17*[2]Sheet1!$C$139/[2]Sheet1!$H$130</f>
        <v>0.57503029934088556</v>
      </c>
      <c r="L49" s="99"/>
      <c r="M49" s="99"/>
      <c r="N49" s="99"/>
    </row>
    <row r="50" spans="1:18" x14ac:dyDescent="0.25">
      <c r="C50" s="99"/>
      <c r="D50" s="99"/>
      <c r="E50" s="99"/>
      <c r="F50" s="99"/>
      <c r="G50" s="99"/>
      <c r="H50" s="99"/>
      <c r="I50" s="99"/>
      <c r="J50" s="99" t="s">
        <v>229</v>
      </c>
      <c r="K50" s="99">
        <f>[1]Sheet1!$F$18/[2]Sheet1!$H$130</f>
        <v>2.0752973209295117E-2</v>
      </c>
      <c r="L50" s="99"/>
      <c r="M50" s="99"/>
      <c r="N50" s="99"/>
    </row>
    <row r="51" spans="1:18" x14ac:dyDescent="0.25">
      <c r="C51" s="99"/>
      <c r="D51" s="99"/>
      <c r="E51" s="99"/>
      <c r="F51" s="99"/>
      <c r="G51" s="99"/>
      <c r="H51" s="99"/>
      <c r="I51" s="99"/>
      <c r="J51" s="117" t="s">
        <v>230</v>
      </c>
      <c r="K51" s="99">
        <f>[1]Sheet1!$F$24</f>
        <v>0.4</v>
      </c>
      <c r="L51" s="99">
        <f>[1]Sheet1!$F$34</f>
        <v>0.5</v>
      </c>
      <c r="M51" s="99"/>
      <c r="N51" s="99"/>
    </row>
    <row r="52" spans="1:18" x14ac:dyDescent="0.25">
      <c r="C52" s="99"/>
      <c r="D52" s="99"/>
      <c r="E52" s="99"/>
      <c r="F52" s="99"/>
      <c r="G52" s="99"/>
      <c r="H52" s="99"/>
      <c r="I52" s="99"/>
      <c r="J52" s="117" t="s">
        <v>231</v>
      </c>
      <c r="K52" s="117">
        <f>[2]Sheet1!$R$6*[1]Sheet1!$F$38/[2]Sheet1!$H$130/2</f>
        <v>7.0414838099138358E-2</v>
      </c>
      <c r="L52" s="99">
        <f>K52*2</f>
        <v>0.14082967619827672</v>
      </c>
      <c r="M52" s="99"/>
      <c r="N52" s="99"/>
    </row>
    <row r="53" spans="1:18" x14ac:dyDescent="0.25">
      <c r="C53" s="99"/>
      <c r="D53" s="99"/>
      <c r="E53" s="99"/>
      <c r="F53" s="99"/>
      <c r="G53" s="99"/>
      <c r="H53" s="99"/>
      <c r="I53" s="99"/>
      <c r="J53" s="117" t="s">
        <v>232</v>
      </c>
      <c r="K53" s="99">
        <f>[1]Sheet1!$F$40/2</f>
        <v>1</v>
      </c>
      <c r="L53" s="99">
        <f>[1]Sheet1!$F$40/2</f>
        <v>1</v>
      </c>
      <c r="M53" s="99"/>
      <c r="N53" s="99"/>
    </row>
    <row r="54" spans="1:18" x14ac:dyDescent="0.25">
      <c r="C54" s="99"/>
      <c r="D54" s="99"/>
      <c r="E54" s="99"/>
      <c r="F54" s="99"/>
      <c r="G54" s="99"/>
      <c r="H54" s="99"/>
      <c r="I54" s="99"/>
      <c r="J54" s="99"/>
      <c r="K54" s="99">
        <f>SUM(K47:K53)</f>
        <v>5.3813253678810389</v>
      </c>
      <c r="L54" s="99">
        <f>SUM(L47:L53)</f>
        <v>1.6408296761982766</v>
      </c>
      <c r="M54" s="99">
        <f>K54/9.81</f>
        <v>0.54855508337217518</v>
      </c>
      <c r="N54" s="99">
        <f>L54/9.81</f>
        <v>0.16726092519860106</v>
      </c>
    </row>
    <row r="56" spans="1:18" x14ac:dyDescent="0.25">
      <c r="C56" s="293" t="s">
        <v>183</v>
      </c>
      <c r="D56" s="293"/>
      <c r="E56" s="293"/>
      <c r="F56" s="293"/>
      <c r="G56" s="293"/>
    </row>
    <row r="57" spans="1:18" x14ac:dyDescent="0.25">
      <c r="C57" s="293"/>
      <c r="D57" s="293"/>
      <c r="E57" s="293"/>
      <c r="F57" s="293"/>
      <c r="G57" s="293"/>
    </row>
    <row r="58" spans="1:18" x14ac:dyDescent="0.25">
      <c r="C58" s="293"/>
      <c r="D58" s="293"/>
      <c r="E58" s="293"/>
      <c r="F58" s="293"/>
      <c r="G58" s="293"/>
    </row>
    <row r="60" spans="1:18" x14ac:dyDescent="0.25">
      <c r="A60" s="99" t="s">
        <v>184</v>
      </c>
      <c r="B60" s="99" t="s">
        <v>185</v>
      </c>
      <c r="C60" s="99" t="s">
        <v>186</v>
      </c>
      <c r="D60" s="99" t="s">
        <v>187</v>
      </c>
      <c r="E60" s="99" t="s">
        <v>188</v>
      </c>
      <c r="F60" s="99" t="s">
        <v>189</v>
      </c>
      <c r="G60" s="99" t="s">
        <v>190</v>
      </c>
      <c r="H60" s="99" t="s">
        <v>191</v>
      </c>
      <c r="I60" s="99" t="s">
        <v>192</v>
      </c>
      <c r="J60" s="99" t="s">
        <v>193</v>
      </c>
      <c r="K60" s="99" t="s">
        <v>161</v>
      </c>
      <c r="L60" s="99" t="s">
        <v>194</v>
      </c>
      <c r="M60" s="99" t="s">
        <v>195</v>
      </c>
      <c r="N60" s="99" t="s">
        <v>196</v>
      </c>
      <c r="O60" s="99" t="s">
        <v>197</v>
      </c>
      <c r="P60" s="99"/>
      <c r="Q60" s="99" t="s">
        <v>198</v>
      </c>
      <c r="R60" s="99" t="s">
        <v>199</v>
      </c>
    </row>
    <row r="61" spans="1:18" x14ac:dyDescent="0.25">
      <c r="A61" s="114" t="s">
        <v>200</v>
      </c>
      <c r="B61" s="114">
        <v>0.38</v>
      </c>
      <c r="C61" s="114">
        <v>3.06</v>
      </c>
      <c r="D61" s="114">
        <f>([2]Sheet1!$H$9-[2]Sheet1!$O$4)/2</f>
        <v>2.2200000000000002</v>
      </c>
      <c r="E61" s="114">
        <f t="shared" ref="E61:E69" si="13">B61*D61</f>
        <v>0.84360000000000013</v>
      </c>
      <c r="F61" s="114">
        <f t="shared" ref="F61:F69" si="14">ATAN(C61/D61)</f>
        <v>0.94316690099340228</v>
      </c>
      <c r="G61" s="114">
        <f t="shared" ref="G61:G70" si="15">230000</f>
        <v>230000</v>
      </c>
      <c r="H61" s="114">
        <v>0.1</v>
      </c>
      <c r="I61" s="114">
        <f t="shared" ref="I61:I69" si="16">G61/H61</f>
        <v>2300000</v>
      </c>
      <c r="J61" s="114">
        <f>C61/(E61*G61)*(1.2+H61*(C61/D61)^2)</f>
        <v>2.1921463128611269E-5</v>
      </c>
      <c r="K61" s="114">
        <f t="shared" ref="K61:K69" si="17">1/J61</f>
        <v>45617.39306054022</v>
      </c>
      <c r="L61" s="114">
        <f t="shared" ref="L61:L69" si="18">SQRT(C61^2+D61^2)</f>
        <v>3.7804761604856076</v>
      </c>
      <c r="M61" s="114">
        <f>K61/(COS(F61))^2</f>
        <v>132287.10770660677</v>
      </c>
      <c r="N61" s="114">
        <f>G61*E61*0.0033/C61</f>
        <v>209.24588235294118</v>
      </c>
      <c r="O61" s="114">
        <f>N61/COS(F61)</f>
        <v>356.32840987165326</v>
      </c>
      <c r="P61" s="114"/>
      <c r="Q61" s="114">
        <f>B61*C61*D61*15</f>
        <v>38.721240000000009</v>
      </c>
      <c r="R61" s="114">
        <f>Q61/9.81</f>
        <v>3.9471192660550467</v>
      </c>
    </row>
    <row r="62" spans="1:18" x14ac:dyDescent="0.25">
      <c r="A62" s="114" t="s">
        <v>201</v>
      </c>
      <c r="B62" s="114">
        <v>0.38</v>
      </c>
      <c r="C62" s="114">
        <f t="shared" ref="C62:C70" si="19">C61</f>
        <v>3.06</v>
      </c>
      <c r="D62" s="114">
        <f>([2]Sheet1!$I$9-[2]Sheet1!$O$4)/2</f>
        <v>1.0150000000000001</v>
      </c>
      <c r="E62" s="114">
        <f t="shared" si="13"/>
        <v>0.38570000000000004</v>
      </c>
      <c r="F62" s="114">
        <f t="shared" si="14"/>
        <v>1.250517080802007</v>
      </c>
      <c r="G62" s="114">
        <f t="shared" si="15"/>
        <v>230000</v>
      </c>
      <c r="H62" s="114">
        <v>0.1</v>
      </c>
      <c r="I62" s="114">
        <f t="shared" si="16"/>
        <v>2300000</v>
      </c>
      <c r="J62" s="114">
        <f t="shared" ref="J62:J69" si="20">C62/(E62*G62)*(1.2+H62*(C62/D62)^2)</f>
        <v>7.2744077228162267E-5</v>
      </c>
      <c r="K62" s="114">
        <f t="shared" si="17"/>
        <v>13746.823632987927</v>
      </c>
      <c r="L62" s="114">
        <f t="shared" si="18"/>
        <v>3.2239455640565646</v>
      </c>
      <c r="M62" s="114">
        <f>K62/(COS(F62))^2</f>
        <v>138690.16879530277</v>
      </c>
      <c r="N62" s="114">
        <f t="shared" ref="N62:N69" si="21">G62*E62*0.0033/C62</f>
        <v>95.668725490196081</v>
      </c>
      <c r="O62" s="114">
        <f t="shared" ref="O62:O69" si="22">N62/COS(F62)</f>
        <v>303.87267306705706</v>
      </c>
      <c r="P62" s="114"/>
      <c r="Q62" s="114">
        <f t="shared" ref="Q62:Q69" si="23">B62*C62*D62*15</f>
        <v>17.703630000000004</v>
      </c>
      <c r="R62" s="114">
        <f t="shared" ref="R62:R69" si="24">Q62/9.81</f>
        <v>1.8046513761467893</v>
      </c>
    </row>
    <row r="63" spans="1:18" x14ac:dyDescent="0.25">
      <c r="A63" s="115" t="s">
        <v>202</v>
      </c>
      <c r="B63" s="115">
        <v>0.38</v>
      </c>
      <c r="C63" s="115">
        <f t="shared" si="19"/>
        <v>3.06</v>
      </c>
      <c r="D63" s="115">
        <v>4.4800000000000004</v>
      </c>
      <c r="E63" s="115">
        <f t="shared" si="13"/>
        <v>1.7024000000000001</v>
      </c>
      <c r="F63" s="115">
        <f t="shared" si="14"/>
        <v>0.59924957306042037</v>
      </c>
      <c r="G63" s="115">
        <f t="shared" si="15"/>
        <v>230000</v>
      </c>
      <c r="H63" s="115">
        <v>0.1</v>
      </c>
      <c r="I63" s="115">
        <f t="shared" si="16"/>
        <v>2300000</v>
      </c>
      <c r="J63" s="115">
        <f>1.2*C63/(E63*G63)</f>
        <v>9.3780647270349762E-6</v>
      </c>
      <c r="K63" s="115">
        <f t="shared" si="17"/>
        <v>106631.80827886713</v>
      </c>
      <c r="L63" s="115">
        <f t="shared" si="18"/>
        <v>5.4253110509905333</v>
      </c>
      <c r="M63" s="115">
        <f t="shared" ref="M63:M69" si="25">K63/(COS(F63))^2</f>
        <v>156379.57613600997</v>
      </c>
      <c r="N63" s="115">
        <f t="shared" si="21"/>
        <v>422.26196078431377</v>
      </c>
      <c r="O63" s="115">
        <f t="shared" si="22"/>
        <v>511.36216121787243</v>
      </c>
      <c r="P63" s="115"/>
      <c r="Q63" s="115">
        <f t="shared" si="23"/>
        <v>78.140160000000009</v>
      </c>
      <c r="R63" s="115">
        <f t="shared" si="24"/>
        <v>7.9653577981651384</v>
      </c>
    </row>
    <row r="64" spans="1:18" x14ac:dyDescent="0.25">
      <c r="A64" s="115" t="s">
        <v>203</v>
      </c>
      <c r="B64" s="115">
        <v>0.38</v>
      </c>
      <c r="C64" s="115">
        <f t="shared" si="19"/>
        <v>3.06</v>
      </c>
      <c r="D64" s="115">
        <v>1.1100000000000001</v>
      </c>
      <c r="E64" s="115">
        <f t="shared" si="13"/>
        <v>0.42180000000000006</v>
      </c>
      <c r="F64" s="115">
        <f t="shared" si="14"/>
        <v>1.2228127246230629</v>
      </c>
      <c r="G64" s="115">
        <f t="shared" si="15"/>
        <v>230000</v>
      </c>
      <c r="H64" s="115">
        <v>0.1</v>
      </c>
      <c r="I64" s="115">
        <f t="shared" si="16"/>
        <v>2300000</v>
      </c>
      <c r="J64" s="115">
        <f t="shared" si="20"/>
        <v>6.1821083469115303E-5</v>
      </c>
      <c r="K64" s="115">
        <f t="shared" si="17"/>
        <v>16175.711325078635</v>
      </c>
      <c r="L64" s="115">
        <f t="shared" si="18"/>
        <v>3.2551036849845505</v>
      </c>
      <c r="M64" s="115">
        <f t="shared" si="25"/>
        <v>139106.39111040966</v>
      </c>
      <c r="N64" s="115">
        <f t="shared" si="21"/>
        <v>104.62294117647059</v>
      </c>
      <c r="O64" s="115">
        <f t="shared" si="22"/>
        <v>306.8094787004066</v>
      </c>
      <c r="P64" s="115"/>
      <c r="Q64" s="115">
        <f t="shared" si="23"/>
        <v>19.360620000000004</v>
      </c>
      <c r="R64" s="115">
        <f t="shared" si="24"/>
        <v>1.9735596330275234</v>
      </c>
    </row>
    <row r="65" spans="1:18" x14ac:dyDescent="0.25">
      <c r="A65" s="99" t="s">
        <v>204</v>
      </c>
      <c r="B65" s="99">
        <v>0.38</v>
      </c>
      <c r="C65" s="99">
        <f t="shared" si="19"/>
        <v>3.06</v>
      </c>
      <c r="D65" s="99">
        <v>3.93</v>
      </c>
      <c r="E65" s="99">
        <f t="shared" si="13"/>
        <v>1.4934000000000001</v>
      </c>
      <c r="F65" s="99">
        <f t="shared" si="14"/>
        <v>0.66157143081950875</v>
      </c>
      <c r="G65" s="99">
        <f t="shared" si="15"/>
        <v>230000</v>
      </c>
      <c r="H65" s="99">
        <v>0.1</v>
      </c>
      <c r="I65" s="99">
        <f t="shared" si="16"/>
        <v>2300000</v>
      </c>
      <c r="J65" s="99">
        <f>1.2*C65/(E65*G65)</f>
        <v>1.0690516533617481E-5</v>
      </c>
      <c r="K65" s="99">
        <f t="shared" si="17"/>
        <v>93540.849673202625</v>
      </c>
      <c r="L65" s="99">
        <f t="shared" si="18"/>
        <v>4.9808131866192298</v>
      </c>
      <c r="M65" s="99">
        <f t="shared" si="25"/>
        <v>150250.77333732479</v>
      </c>
      <c r="N65" s="99">
        <f t="shared" si="21"/>
        <v>370.42176470588237</v>
      </c>
      <c r="O65" s="99">
        <f t="shared" si="22"/>
        <v>469.46605858977722</v>
      </c>
      <c r="P65" s="99"/>
      <c r="Q65" s="99">
        <f t="shared" si="23"/>
        <v>68.547060000000002</v>
      </c>
      <c r="R65" s="99">
        <f t="shared" si="24"/>
        <v>6.987467889908257</v>
      </c>
    </row>
    <row r="66" spans="1:18" x14ac:dyDescent="0.25">
      <c r="A66" s="99" t="s">
        <v>205</v>
      </c>
      <c r="B66" s="99">
        <v>0.38</v>
      </c>
      <c r="C66" s="99">
        <f t="shared" si="19"/>
        <v>3.06</v>
      </c>
      <c r="D66" s="99">
        <v>3.23</v>
      </c>
      <c r="E66" s="99">
        <f t="shared" si="13"/>
        <v>1.2274</v>
      </c>
      <c r="F66" s="99">
        <f t="shared" si="14"/>
        <v>0.75837771421018352</v>
      </c>
      <c r="G66" s="99">
        <f t="shared" si="15"/>
        <v>230000</v>
      </c>
      <c r="H66" s="99">
        <v>0.1</v>
      </c>
      <c r="I66" s="99">
        <f t="shared" si="16"/>
        <v>2300000</v>
      </c>
      <c r="J66" s="99">
        <f>1.2*C66/(E66*G66)</f>
        <v>1.3007346742141394E-5</v>
      </c>
      <c r="K66" s="99">
        <f t="shared" si="17"/>
        <v>76879.629629629635</v>
      </c>
      <c r="L66" s="99">
        <f t="shared" si="18"/>
        <v>4.4493257916228162</v>
      </c>
      <c r="M66" s="99">
        <f t="shared" si="25"/>
        <v>145879.62962962966</v>
      </c>
      <c r="N66" s="99">
        <f t="shared" si="21"/>
        <v>304.44333333333333</v>
      </c>
      <c r="O66" s="99">
        <f t="shared" si="22"/>
        <v>419.3707662809976</v>
      </c>
      <c r="P66" s="99"/>
      <c r="Q66" s="99">
        <f t="shared" si="23"/>
        <v>56.33766</v>
      </c>
      <c r="R66" s="99">
        <f t="shared" si="24"/>
        <v>5.7428807339449541</v>
      </c>
    </row>
    <row r="67" spans="1:18" x14ac:dyDescent="0.25">
      <c r="A67" s="116" t="s">
        <v>206</v>
      </c>
      <c r="B67" s="116">
        <v>0.38</v>
      </c>
      <c r="C67" s="116">
        <f t="shared" si="19"/>
        <v>3.06</v>
      </c>
      <c r="D67" s="116">
        <v>0.63</v>
      </c>
      <c r="E67" s="116">
        <f t="shared" si="13"/>
        <v>0.2394</v>
      </c>
      <c r="F67" s="116">
        <f t="shared" si="14"/>
        <v>1.3677511095414314</v>
      </c>
      <c r="G67" s="116">
        <f t="shared" si="15"/>
        <v>230000</v>
      </c>
      <c r="H67" s="116">
        <v>0.1</v>
      </c>
      <c r="I67" s="116">
        <f t="shared" si="16"/>
        <v>2300000</v>
      </c>
      <c r="J67" s="116">
        <f t="shared" si="20"/>
        <v>1.9779706586786397E-4</v>
      </c>
      <c r="K67" s="116">
        <f t="shared" si="17"/>
        <v>5055.6867242309772</v>
      </c>
      <c r="L67" s="116">
        <f t="shared" si="18"/>
        <v>3.1241798923877608</v>
      </c>
      <c r="M67" s="116">
        <f t="shared" si="25"/>
        <v>124328.62250404744</v>
      </c>
      <c r="N67" s="116">
        <f t="shared" si="21"/>
        <v>59.38058823529412</v>
      </c>
      <c r="O67" s="116">
        <f t="shared" si="22"/>
        <v>294.46926946486201</v>
      </c>
      <c r="P67" s="116"/>
      <c r="Q67" s="116">
        <f t="shared" si="23"/>
        <v>10.98846</v>
      </c>
      <c r="R67" s="116">
        <f t="shared" si="24"/>
        <v>1.1201284403669725</v>
      </c>
    </row>
    <row r="68" spans="1:18" x14ac:dyDescent="0.25">
      <c r="A68" s="116" t="s">
        <v>207</v>
      </c>
      <c r="B68" s="116">
        <v>0.38</v>
      </c>
      <c r="C68" s="116">
        <f t="shared" si="19"/>
        <v>3.06</v>
      </c>
      <c r="D68" s="116">
        <v>3.7</v>
      </c>
      <c r="E68" s="116">
        <f t="shared" si="13"/>
        <v>1.4060000000000001</v>
      </c>
      <c r="F68" s="116">
        <f t="shared" si="14"/>
        <v>0.69100496020801494</v>
      </c>
      <c r="G68" s="116">
        <f t="shared" si="15"/>
        <v>230000</v>
      </c>
      <c r="H68" s="116">
        <v>0.1</v>
      </c>
      <c r="I68" s="116">
        <f t="shared" si="16"/>
        <v>2300000</v>
      </c>
      <c r="J68" s="116">
        <f>1.2*C68/(E68*G68)</f>
        <v>1.1355062155977485E-5</v>
      </c>
      <c r="K68" s="116">
        <f t="shared" si="17"/>
        <v>88066.448801742939</v>
      </c>
      <c r="L68" s="116">
        <f t="shared" si="18"/>
        <v>4.8014164576716318</v>
      </c>
      <c r="M68" s="116">
        <f t="shared" si="25"/>
        <v>148301.5839368781</v>
      </c>
      <c r="N68" s="116">
        <f t="shared" si="21"/>
        <v>348.74313725490202</v>
      </c>
      <c r="O68" s="116">
        <f t="shared" si="22"/>
        <v>452.55703749073604</v>
      </c>
      <c r="P68" s="116"/>
      <c r="Q68" s="116">
        <f t="shared" si="23"/>
        <v>64.53540000000001</v>
      </c>
      <c r="R68" s="116">
        <f t="shared" si="24"/>
        <v>6.5785321100917438</v>
      </c>
    </row>
    <row r="69" spans="1:18" x14ac:dyDescent="0.25">
      <c r="A69" s="117" t="s">
        <v>208</v>
      </c>
      <c r="B69" s="99">
        <v>0.38</v>
      </c>
      <c r="C69" s="99">
        <f t="shared" si="19"/>
        <v>3.06</v>
      </c>
      <c r="D69" s="99">
        <f>(4.25-[2]Sheet1!$O$4)/2</f>
        <v>1.2250000000000001</v>
      </c>
      <c r="E69" s="99">
        <f t="shared" si="13"/>
        <v>0.46550000000000002</v>
      </c>
      <c r="F69" s="99">
        <f t="shared" si="14"/>
        <v>1.1900082595491372</v>
      </c>
      <c r="G69" s="99">
        <f t="shared" si="15"/>
        <v>230000</v>
      </c>
      <c r="H69" s="99">
        <v>0.1</v>
      </c>
      <c r="I69" s="99">
        <f t="shared" si="16"/>
        <v>2300000</v>
      </c>
      <c r="J69" s="99">
        <f t="shared" si="20"/>
        <v>5.2130750716755054E-5</v>
      </c>
      <c r="K69" s="99">
        <f t="shared" si="17"/>
        <v>19182.535955282063</v>
      </c>
      <c r="L69" s="99">
        <f t="shared" si="18"/>
        <v>3.2960923834140332</v>
      </c>
      <c r="M69" s="99">
        <f t="shared" si="25"/>
        <v>138877.72540692994</v>
      </c>
      <c r="N69" s="99">
        <f t="shared" si="21"/>
        <v>115.46225490196079</v>
      </c>
      <c r="O69" s="99">
        <f t="shared" si="22"/>
        <v>310.67286445237755</v>
      </c>
      <c r="P69" s="99"/>
      <c r="Q69" s="99">
        <f t="shared" si="23"/>
        <v>21.36645</v>
      </c>
      <c r="R69" s="99">
        <f t="shared" si="24"/>
        <v>2.1780275229357797</v>
      </c>
    </row>
    <row r="70" spans="1:18" x14ac:dyDescent="0.25">
      <c r="A70" s="117" t="s">
        <v>209</v>
      </c>
      <c r="B70" s="99">
        <v>0.38</v>
      </c>
      <c r="C70" s="99">
        <f t="shared" si="19"/>
        <v>3.06</v>
      </c>
      <c r="D70" s="99">
        <f>(5.25-[2]Sheet1!$O$4)/2</f>
        <v>1.7250000000000001</v>
      </c>
      <c r="E70" s="99">
        <f>B70*D70</f>
        <v>0.65550000000000008</v>
      </c>
      <c r="F70" s="99">
        <f>ATAN(C70/D70)</f>
        <v>1.0574764178110518</v>
      </c>
      <c r="G70" s="99">
        <f t="shared" si="15"/>
        <v>230000</v>
      </c>
      <c r="H70" s="99">
        <v>0.1</v>
      </c>
      <c r="I70" s="99">
        <f>G70/H70</f>
        <v>2300000</v>
      </c>
      <c r="J70" s="99">
        <f>C70/(E70*G70)*(1.2+H70*(C70/D70)^2)</f>
        <v>3.0742618317657449E-5</v>
      </c>
      <c r="K70" s="99">
        <f>1/J70</f>
        <v>32528.133734973257</v>
      </c>
      <c r="L70" s="99">
        <f>SQRT(C70^2+D70^2)</f>
        <v>3.5127233025104609</v>
      </c>
      <c r="M70" s="99">
        <f>K70/(COS(F70))^2</f>
        <v>134886.60734666674</v>
      </c>
      <c r="N70" s="99">
        <f>G70*E70*0.0033/C70</f>
        <v>162.58970588235297</v>
      </c>
      <c r="O70" s="99">
        <f>N70/COS(F70)</f>
        <v>331.09139049348602</v>
      </c>
      <c r="P70" s="99"/>
      <c r="Q70" s="99">
        <f>B70*C70*D70*15</f>
        <v>30.08745</v>
      </c>
      <c r="R70" s="99">
        <f>Q70/9.81</f>
        <v>3.0670183486238529</v>
      </c>
    </row>
    <row r="71" spans="1:18" x14ac:dyDescent="0.25">
      <c r="A71" s="99"/>
      <c r="B71" s="99"/>
      <c r="C71" s="99"/>
      <c r="D71" s="99"/>
      <c r="E71" s="99"/>
      <c r="F71" s="99"/>
      <c r="G71" s="99"/>
      <c r="H71" s="99"/>
      <c r="I71" s="99"/>
      <c r="J71" s="99"/>
      <c r="K71" s="99"/>
      <c r="L71" s="99"/>
      <c r="M71" s="99"/>
      <c r="N71" s="99"/>
      <c r="O71" s="99"/>
      <c r="P71" s="99"/>
      <c r="Q71" s="99"/>
      <c r="R71" s="99"/>
    </row>
    <row r="72" spans="1:18" x14ac:dyDescent="0.25">
      <c r="A72" s="99" t="s">
        <v>210</v>
      </c>
      <c r="B72" s="99">
        <v>0.38</v>
      </c>
      <c r="C72" s="99">
        <f>C69</f>
        <v>3.06</v>
      </c>
      <c r="D72" s="99">
        <f>(3.5-[2]Sheet1!$O$4)/2</f>
        <v>0.85</v>
      </c>
      <c r="E72" s="99">
        <f>B72*D72</f>
        <v>0.32300000000000001</v>
      </c>
      <c r="F72" s="99">
        <f>ATAN(C72/D72)</f>
        <v>1.2998494764564761</v>
      </c>
      <c r="G72" s="99">
        <f>230000</f>
        <v>230000</v>
      </c>
      <c r="H72" s="99">
        <v>0.1</v>
      </c>
      <c r="I72" s="99">
        <f>G72/H72</f>
        <v>2300000</v>
      </c>
      <c r="J72" s="99">
        <f>C72/(E72*G72)*(1.2+H72*(C72/D72)^2)</f>
        <v>1.0281006864988559E-4</v>
      </c>
      <c r="K72" s="99">
        <f>1/J72</f>
        <v>9726.6737891737885</v>
      </c>
      <c r="L72" s="99">
        <f>SQRT(C72^2+D72^2)</f>
        <v>3.1758620876857986</v>
      </c>
      <c r="M72" s="99">
        <f>K72/(COS(F72))^2</f>
        <v>135784.36609686608</v>
      </c>
      <c r="N72" s="99">
        <f>G72*E72*0.0033/C72</f>
        <v>80.116666666666674</v>
      </c>
      <c r="O72" s="99">
        <f>N72/COS(F72)</f>
        <v>299.34056971579679</v>
      </c>
      <c r="P72" s="99"/>
      <c r="Q72" s="99">
        <f>B72*C72*D72*15</f>
        <v>14.825700000000001</v>
      </c>
      <c r="R72" s="99">
        <f>Q72/9.81</f>
        <v>1.5112844036697248</v>
      </c>
    </row>
    <row r="73" spans="1:18" x14ac:dyDescent="0.25">
      <c r="A73" s="99" t="s">
        <v>211</v>
      </c>
      <c r="B73" s="99">
        <v>0.38</v>
      </c>
      <c r="C73" s="99">
        <f>C72</f>
        <v>3.06</v>
      </c>
      <c r="D73" s="99">
        <f>(3.25-[2]Sheet1!$O$5)/2</f>
        <v>1.2250000000000001</v>
      </c>
      <c r="E73" s="99">
        <f>B73*D73</f>
        <v>0.46550000000000002</v>
      </c>
      <c r="F73" s="99">
        <f>ATAN(C73/D73)</f>
        <v>1.1900082595491372</v>
      </c>
      <c r="G73" s="99">
        <f>230000</f>
        <v>230000</v>
      </c>
      <c r="H73" s="99">
        <v>0.1</v>
      </c>
      <c r="I73" s="99">
        <f>G73/H73</f>
        <v>2300000</v>
      </c>
      <c r="J73" s="99">
        <f>C73/(E73*G73)*(1.2+H73*(C73/D73)^2)</f>
        <v>5.2130750716755054E-5</v>
      </c>
      <c r="K73" s="99">
        <f>1/J73</f>
        <v>19182.535955282063</v>
      </c>
      <c r="L73" s="99">
        <f>SQRT(C73^2+D73^2)</f>
        <v>3.2960923834140332</v>
      </c>
      <c r="M73" s="99">
        <f>K73/(COS(F73))^2</f>
        <v>138877.72540692994</v>
      </c>
      <c r="N73" s="99">
        <f>G73*E73*0.0033/C73</f>
        <v>115.46225490196079</v>
      </c>
      <c r="O73" s="99">
        <f>N73/COS(F73)</f>
        <v>310.67286445237755</v>
      </c>
      <c r="P73" s="99"/>
      <c r="Q73" s="99">
        <f>B73*C73*D73*15</f>
        <v>21.36645</v>
      </c>
      <c r="R73" s="99">
        <f>Q73/9.81</f>
        <v>2.1780275229357797</v>
      </c>
    </row>
    <row r="74" spans="1:18" x14ac:dyDescent="0.25">
      <c r="A74" s="99" t="s">
        <v>212</v>
      </c>
      <c r="B74" s="99">
        <v>0.38</v>
      </c>
      <c r="C74" s="99">
        <f>C72</f>
        <v>3.06</v>
      </c>
      <c r="D74" s="99">
        <f>(4.75-[2]Sheet1!$O$4)/2</f>
        <v>1.4750000000000001</v>
      </c>
      <c r="E74" s="99">
        <f>B74*D74</f>
        <v>0.5605</v>
      </c>
      <c r="F74" s="99">
        <f>ATAN(C74/D74)</f>
        <v>1.1216309178785446</v>
      </c>
      <c r="G74" s="99">
        <f>230000</f>
        <v>230000</v>
      </c>
      <c r="H74" s="99">
        <v>0.1</v>
      </c>
      <c r="I74" s="99">
        <f>G74/H74</f>
        <v>2300000</v>
      </c>
      <c r="J74" s="99">
        <f>C74/(E74*G74)*(1.2+H74*(C74/D74)^2)</f>
        <v>3.8699788323474915E-5</v>
      </c>
      <c r="K74" s="99">
        <f>1/J74</f>
        <v>25839.934617766623</v>
      </c>
      <c r="L74" s="99">
        <f>SQRT(C74^2+D74^2)</f>
        <v>3.3969434790705599</v>
      </c>
      <c r="M74" s="99">
        <f>K74/(COS(F74))^2</f>
        <v>137051.56887776978</v>
      </c>
      <c r="N74" s="99">
        <f>G74*E74*0.0033/C74</f>
        <v>139.02598039215684</v>
      </c>
      <c r="O74" s="99">
        <f>N74/COS(F74)</f>
        <v>320.17857458612104</v>
      </c>
      <c r="P74" s="99"/>
      <c r="Q74" s="99">
        <f>B74*C74*D74*15</f>
        <v>25.726950000000002</v>
      </c>
      <c r="R74" s="99">
        <f>Q74/9.81</f>
        <v>2.6225229357798168</v>
      </c>
    </row>
    <row r="75" spans="1:18" x14ac:dyDescent="0.25">
      <c r="A75" s="99" t="s">
        <v>213</v>
      </c>
      <c r="B75" s="99">
        <v>0.38</v>
      </c>
      <c r="C75" s="99">
        <f>C73</f>
        <v>3.06</v>
      </c>
      <c r="D75" s="99">
        <v>4.95</v>
      </c>
      <c r="E75" s="99">
        <f>B75*D75</f>
        <v>1.881</v>
      </c>
      <c r="F75" s="99">
        <f>ATAN(C75/D75)</f>
        <v>0.55368132220699762</v>
      </c>
      <c r="G75" s="99">
        <f>230000</f>
        <v>230000</v>
      </c>
      <c r="H75" s="99">
        <v>0.1</v>
      </c>
      <c r="I75" s="99">
        <f>G75/H75</f>
        <v>2300000</v>
      </c>
      <c r="J75" s="99">
        <f>1.2*C75/(E75*G75)</f>
        <v>8.4876222175993337E-6</v>
      </c>
      <c r="K75" s="99">
        <f>1/J75</f>
        <v>117818.62745098041</v>
      </c>
      <c r="L75" s="99">
        <f>SQRT(C75^2+D75^2)</f>
        <v>5.8194587377177962</v>
      </c>
      <c r="M75" s="99">
        <f>K75/(COS(F75))^2</f>
        <v>162842.86987522282</v>
      </c>
      <c r="N75" s="99">
        <f>G75*E75*0.0033/C75</f>
        <v>466.56176470588235</v>
      </c>
      <c r="O75" s="99">
        <f>N75/COS(F75)</f>
        <v>548.51251278842039</v>
      </c>
      <c r="P75" s="99"/>
      <c r="Q75" s="99">
        <f>B75*C75*D75*15</f>
        <v>86.337900000000005</v>
      </c>
      <c r="R75" s="99">
        <f>Q75/9.81</f>
        <v>8.8010091743119272</v>
      </c>
    </row>
    <row r="77" spans="1:18" x14ac:dyDescent="0.25">
      <c r="I77" s="121" t="s">
        <v>233</v>
      </c>
      <c r="J77" s="121">
        <f>[2]Sheet1!$O$4*[2]Sheet1!$J$5</f>
        <v>0.68400000000000005</v>
      </c>
      <c r="K77" s="121" t="s">
        <v>234</v>
      </c>
      <c r="L77" s="121" t="s">
        <v>235</v>
      </c>
      <c r="M77" s="121" t="s">
        <v>193</v>
      </c>
      <c r="N77" s="121" t="s">
        <v>222</v>
      </c>
    </row>
    <row r="78" spans="1:18" x14ac:dyDescent="0.25">
      <c r="I78" s="121" t="s">
        <v>236</v>
      </c>
      <c r="J78" s="121">
        <f>[2]Sheet1!$O$5*[2]Sheet1!$J$2</f>
        <v>0.30400000000000005</v>
      </c>
      <c r="K78" s="121">
        <f>J77/D2/B2</f>
        <v>0.53437499999999993</v>
      </c>
      <c r="L78" s="121">
        <f>1-K78/0.85</f>
        <v>0.37132352941176472</v>
      </c>
      <c r="M78" s="121">
        <f>1.2*D2/G2/E2/L78</f>
        <v>7.02539819199311E-5</v>
      </c>
      <c r="N78" s="121">
        <f>M78^-1</f>
        <v>14234.068627450984</v>
      </c>
    </row>
    <row r="79" spans="1:18" x14ac:dyDescent="0.25">
      <c r="I79" s="121" t="s">
        <v>237</v>
      </c>
      <c r="J79" s="121">
        <f>[2]Sheet1!$O$4*[2]Sheet1!$J$2</f>
        <v>0.68400000000000005</v>
      </c>
      <c r="K79" s="121"/>
      <c r="L79" s="121"/>
      <c r="M79" s="121"/>
      <c r="N79" s="121"/>
    </row>
    <row r="80" spans="1:18" x14ac:dyDescent="0.25">
      <c r="I80" s="121"/>
      <c r="J80" s="121"/>
      <c r="K80" s="121"/>
      <c r="L80" s="121"/>
      <c r="M80" s="121"/>
      <c r="N80" s="121"/>
    </row>
    <row r="81" spans="1:35" x14ac:dyDescent="0.25">
      <c r="I81" s="121"/>
      <c r="J81" s="121"/>
      <c r="K81" s="121"/>
      <c r="L81" s="121"/>
      <c r="M81" s="121"/>
      <c r="N81" s="121"/>
    </row>
    <row r="82" spans="1:35" x14ac:dyDescent="0.25">
      <c r="I82" s="121"/>
      <c r="J82" s="121"/>
      <c r="K82" s="121"/>
      <c r="L82" s="121"/>
      <c r="M82" s="121"/>
      <c r="N82" s="121"/>
    </row>
    <row r="83" spans="1:35" x14ac:dyDescent="0.25">
      <c r="I83" s="121"/>
      <c r="J83" s="121"/>
      <c r="K83" s="121"/>
      <c r="L83" s="121"/>
      <c r="M83" s="121"/>
      <c r="N83" s="121"/>
    </row>
    <row r="84" spans="1:35" x14ac:dyDescent="0.25">
      <c r="D84" s="294" t="s">
        <v>238</v>
      </c>
      <c r="E84" s="295"/>
      <c r="F84" s="295"/>
      <c r="G84" s="295"/>
      <c r="H84" s="295"/>
      <c r="I84" s="121"/>
      <c r="J84" s="121"/>
      <c r="K84" s="121"/>
      <c r="L84" s="121"/>
      <c r="M84" s="121"/>
      <c r="N84" s="121"/>
    </row>
    <row r="85" spans="1:35" x14ac:dyDescent="0.25">
      <c r="D85" s="295"/>
      <c r="E85" s="295"/>
      <c r="F85" s="295"/>
      <c r="G85" s="295"/>
      <c r="H85" s="295"/>
      <c r="I85" s="121"/>
      <c r="J85" s="121"/>
      <c r="K85" s="121"/>
      <c r="L85" s="121"/>
      <c r="M85" s="121"/>
      <c r="N85" s="121"/>
    </row>
    <row r="86" spans="1:35" x14ac:dyDescent="0.25">
      <c r="D86" s="295"/>
      <c r="E86" s="295"/>
      <c r="F86" s="295"/>
      <c r="G86" s="295"/>
      <c r="H86" s="295"/>
      <c r="I86" s="121"/>
      <c r="J86" s="121"/>
      <c r="K86" s="121"/>
      <c r="L86" s="121"/>
      <c r="M86" s="121"/>
      <c r="N86" s="121"/>
    </row>
    <row r="87" spans="1:35" x14ac:dyDescent="0.25">
      <c r="I87" s="121"/>
      <c r="J87" s="121"/>
      <c r="K87" s="121"/>
      <c r="L87" s="121"/>
      <c r="M87" s="121"/>
      <c r="N87" s="121"/>
    </row>
    <row r="88" spans="1:35" x14ac:dyDescent="0.25">
      <c r="A88" s="99" t="s">
        <v>184</v>
      </c>
      <c r="B88" s="99" t="s">
        <v>185</v>
      </c>
      <c r="C88" s="99" t="s">
        <v>186</v>
      </c>
      <c r="D88" s="99" t="s">
        <v>187</v>
      </c>
      <c r="E88" s="99" t="s">
        <v>188</v>
      </c>
      <c r="F88" s="99" t="s">
        <v>189</v>
      </c>
      <c r="G88" s="99" t="s">
        <v>190</v>
      </c>
      <c r="H88" s="99" t="s">
        <v>191</v>
      </c>
      <c r="I88" s="99" t="s">
        <v>192</v>
      </c>
      <c r="J88" s="117" t="s">
        <v>234</v>
      </c>
      <c r="K88" s="117" t="s">
        <v>235</v>
      </c>
      <c r="L88" s="99" t="s">
        <v>193</v>
      </c>
      <c r="M88" s="99" t="s">
        <v>161</v>
      </c>
      <c r="N88" s="99" t="s">
        <v>194</v>
      </c>
      <c r="O88" s="99" t="s">
        <v>195</v>
      </c>
      <c r="P88" s="99" t="s">
        <v>196</v>
      </c>
      <c r="Q88" s="99" t="s">
        <v>197</v>
      </c>
      <c r="R88" s="99"/>
      <c r="S88" s="99" t="s">
        <v>198</v>
      </c>
      <c r="T88" s="99" t="s">
        <v>199</v>
      </c>
      <c r="U88" s="5"/>
      <c r="V88" s="5"/>
      <c r="W88" s="5"/>
      <c r="X88" s="5"/>
      <c r="Y88" s="5"/>
      <c r="Z88" s="5"/>
      <c r="AA88" s="5"/>
      <c r="AB88" s="5"/>
      <c r="AC88" s="5"/>
      <c r="AD88" s="5"/>
      <c r="AE88" s="5"/>
      <c r="AF88" s="5"/>
      <c r="AG88" s="5"/>
      <c r="AH88" s="5"/>
      <c r="AI88" s="5"/>
    </row>
    <row r="89" spans="1:35" x14ac:dyDescent="0.25">
      <c r="A89" s="122" t="s">
        <v>200</v>
      </c>
      <c r="B89" s="122">
        <v>0.38</v>
      </c>
      <c r="C89" s="122">
        <v>3.06</v>
      </c>
      <c r="D89" s="122">
        <v>6.49</v>
      </c>
      <c r="E89" s="122">
        <f t="shared" ref="E89:E97" si="26">B89*D89</f>
        <v>2.4662000000000002</v>
      </c>
      <c r="F89" s="122">
        <f t="shared" ref="F89:F97" si="27">ATAN(C89/D89)</f>
        <v>0.44058436741375206</v>
      </c>
      <c r="G89" s="122">
        <f t="shared" ref="G89:G98" si="28">230000</f>
        <v>230000</v>
      </c>
      <c r="H89" s="122">
        <v>0.1</v>
      </c>
      <c r="I89" s="122">
        <f t="shared" ref="I89:I97" si="29">G89/H89</f>
        <v>2300000</v>
      </c>
      <c r="J89" s="122">
        <f>$J$77/E89</f>
        <v>0.27734976887519258</v>
      </c>
      <c r="K89" s="122">
        <f>1-J89/0.85</f>
        <v>0.67370615426447933</v>
      </c>
      <c r="L89" s="122">
        <f>1.2/K89*C89/(E89*G89)</f>
        <v>9.6089521002419458E-6</v>
      </c>
      <c r="M89" s="122">
        <f t="shared" ref="M89:M97" si="30">1/L89</f>
        <v>104069.62065872103</v>
      </c>
      <c r="N89" s="122">
        <f t="shared" ref="N89:N97" si="31">SQRT(C89^2+D89^2)</f>
        <v>7.1752142825144949</v>
      </c>
      <c r="O89" s="122">
        <f t="shared" ref="O89:O98" si="32">M89/(COS(F89))^2</f>
        <v>127205.04293929492</v>
      </c>
      <c r="P89" s="122">
        <f>G89*E89*0.0033/C89</f>
        <v>611.71431372549023</v>
      </c>
      <c r="Q89" s="122">
        <f t="shared" ref="Q89:Q98" si="33">P89/COS(F89)</f>
        <v>676.29911874602317</v>
      </c>
      <c r="R89" s="122"/>
      <c r="S89" s="122">
        <f>B89*C89*D89*15</f>
        <v>113.19858000000001</v>
      </c>
      <c r="T89" s="122">
        <f>S89/9.81</f>
        <v>11.539100917431194</v>
      </c>
      <c r="U89" s="5"/>
      <c r="V89" s="5"/>
      <c r="W89" s="5"/>
      <c r="X89" s="5"/>
      <c r="Y89" s="5"/>
      <c r="Z89" s="5"/>
      <c r="AA89" s="5"/>
      <c r="AB89" s="5"/>
      <c r="AC89" s="5"/>
      <c r="AD89" s="5"/>
      <c r="AE89" s="5"/>
      <c r="AF89" s="5"/>
      <c r="AG89" s="5"/>
      <c r="AH89" s="5"/>
      <c r="AI89" s="5"/>
    </row>
    <row r="90" spans="1:35" x14ac:dyDescent="0.25">
      <c r="A90" s="122" t="s">
        <v>201</v>
      </c>
      <c r="B90" s="122">
        <v>0.38</v>
      </c>
      <c r="C90" s="122">
        <f t="shared" ref="C90:C98" si="34">C89</f>
        <v>3.06</v>
      </c>
      <c r="D90" s="122">
        <v>4.08</v>
      </c>
      <c r="E90" s="122">
        <f t="shared" si="26"/>
        <v>1.5504</v>
      </c>
      <c r="F90" s="122">
        <f t="shared" si="27"/>
        <v>0.64350110879328437</v>
      </c>
      <c r="G90" s="122">
        <f t="shared" si="28"/>
        <v>230000</v>
      </c>
      <c r="H90" s="122">
        <v>0.1</v>
      </c>
      <c r="I90" s="122">
        <f t="shared" si="29"/>
        <v>2300000</v>
      </c>
      <c r="J90" s="122">
        <f>$J$77/E90</f>
        <v>0.44117647058823534</v>
      </c>
      <c r="K90" s="122">
        <f>1-J90/0.85</f>
        <v>0.48096885813148782</v>
      </c>
      <c r="L90" s="122">
        <f>1.2/K90*C90/(E90*G90)</f>
        <v>2.1409874388818466E-5</v>
      </c>
      <c r="M90" s="122">
        <f t="shared" si="30"/>
        <v>46707.420222991153</v>
      </c>
      <c r="N90" s="122">
        <f t="shared" si="31"/>
        <v>5.0999999999999996</v>
      </c>
      <c r="O90" s="122">
        <f t="shared" si="32"/>
        <v>72980.344098423666</v>
      </c>
      <c r="P90" s="122">
        <f t="shared" ref="P90:P97" si="35">G90*E90*0.0033/C90</f>
        <v>384.56</v>
      </c>
      <c r="Q90" s="122">
        <f t="shared" si="33"/>
        <v>480.7</v>
      </c>
      <c r="R90" s="122"/>
      <c r="S90" s="122">
        <f t="shared" ref="S90:S97" si="36">B90*C90*D90*15</f>
        <v>71.163359999999997</v>
      </c>
      <c r="T90" s="122">
        <f t="shared" ref="T90:T97" si="37">S90/9.81</f>
        <v>7.2541651376146783</v>
      </c>
      <c r="U90" s="5"/>
      <c r="V90" s="5"/>
      <c r="W90" s="5"/>
      <c r="X90" s="5"/>
      <c r="Y90" s="5"/>
      <c r="Z90" s="5"/>
      <c r="AA90" s="5"/>
      <c r="AB90" s="5"/>
      <c r="AC90" s="5"/>
      <c r="AD90" s="5"/>
      <c r="AE90" s="5"/>
      <c r="AF90" s="5"/>
      <c r="AG90" s="5"/>
      <c r="AH90" s="5"/>
      <c r="AI90" s="5"/>
    </row>
    <row r="91" spans="1:35" x14ac:dyDescent="0.25">
      <c r="A91" s="123" t="s">
        <v>202</v>
      </c>
      <c r="B91" s="123">
        <v>0.38</v>
      </c>
      <c r="C91" s="123">
        <f t="shared" si="34"/>
        <v>3.06</v>
      </c>
      <c r="D91" s="123">
        <v>4.4800000000000004</v>
      </c>
      <c r="E91" s="123">
        <f t="shared" si="26"/>
        <v>1.7024000000000001</v>
      </c>
      <c r="F91" s="123">
        <f t="shared" si="27"/>
        <v>0.59924957306042037</v>
      </c>
      <c r="G91" s="123">
        <f t="shared" si="28"/>
        <v>230000</v>
      </c>
      <c r="H91" s="123">
        <v>0.1</v>
      </c>
      <c r="I91" s="123">
        <f t="shared" si="29"/>
        <v>2300000</v>
      </c>
      <c r="J91" s="123"/>
      <c r="K91" s="123"/>
      <c r="L91" s="123">
        <f>1.2*C91/(E91*G91)</f>
        <v>9.3780647270349762E-6</v>
      </c>
      <c r="M91" s="123">
        <f t="shared" si="30"/>
        <v>106631.80827886713</v>
      </c>
      <c r="N91" s="123">
        <f t="shared" si="31"/>
        <v>5.4253110509905333</v>
      </c>
      <c r="O91" s="123">
        <f t="shared" si="32"/>
        <v>156379.57613600997</v>
      </c>
      <c r="P91" s="123">
        <f t="shared" si="35"/>
        <v>422.26196078431377</v>
      </c>
      <c r="Q91" s="123">
        <f t="shared" si="33"/>
        <v>511.36216121787243</v>
      </c>
      <c r="R91" s="123"/>
      <c r="S91" s="123">
        <f t="shared" si="36"/>
        <v>78.140160000000009</v>
      </c>
      <c r="T91" s="123">
        <f t="shared" si="37"/>
        <v>7.9653577981651384</v>
      </c>
      <c r="U91" s="5"/>
      <c r="V91" s="5"/>
      <c r="W91" s="5"/>
      <c r="X91" s="5"/>
      <c r="Y91" s="5"/>
      <c r="Z91" s="5"/>
      <c r="AA91" s="5"/>
      <c r="AB91" s="5"/>
      <c r="AC91" s="5"/>
      <c r="AD91" s="5"/>
      <c r="AE91" s="5"/>
      <c r="AF91" s="5"/>
      <c r="AG91" s="5"/>
      <c r="AH91" s="5"/>
      <c r="AI91" s="5"/>
    </row>
    <row r="92" spans="1:35" x14ac:dyDescent="0.25">
      <c r="A92" s="123" t="s">
        <v>203</v>
      </c>
      <c r="B92" s="123">
        <v>0.38</v>
      </c>
      <c r="C92" s="123">
        <f t="shared" si="34"/>
        <v>3.06</v>
      </c>
      <c r="D92" s="123">
        <v>1.1100000000000001</v>
      </c>
      <c r="E92" s="123">
        <f t="shared" si="26"/>
        <v>0.42180000000000006</v>
      </c>
      <c r="F92" s="123">
        <f t="shared" si="27"/>
        <v>1.2228127246230629</v>
      </c>
      <c r="G92" s="123">
        <f t="shared" si="28"/>
        <v>230000</v>
      </c>
      <c r="H92" s="123">
        <v>0.1</v>
      </c>
      <c r="I92" s="123">
        <f t="shared" si="29"/>
        <v>2300000</v>
      </c>
      <c r="J92" s="123"/>
      <c r="K92" s="123"/>
      <c r="L92" s="123">
        <f>C92/(E92*G92)*(1.2+H92*(C92/D92)^2)</f>
        <v>6.1821083469115303E-5</v>
      </c>
      <c r="M92" s="123">
        <f t="shared" si="30"/>
        <v>16175.711325078635</v>
      </c>
      <c r="N92" s="123">
        <f t="shared" si="31"/>
        <v>3.2551036849845505</v>
      </c>
      <c r="O92" s="123">
        <f t="shared" si="32"/>
        <v>139106.39111040966</v>
      </c>
      <c r="P92" s="123">
        <f t="shared" si="35"/>
        <v>104.62294117647059</v>
      </c>
      <c r="Q92" s="123">
        <f t="shared" si="33"/>
        <v>306.8094787004066</v>
      </c>
      <c r="R92" s="123"/>
      <c r="S92" s="123">
        <f t="shared" si="36"/>
        <v>19.360620000000004</v>
      </c>
      <c r="T92" s="123">
        <f t="shared" si="37"/>
        <v>1.9735596330275234</v>
      </c>
      <c r="U92" s="5"/>
      <c r="V92" s="5"/>
      <c r="W92" s="5"/>
      <c r="X92" s="5"/>
      <c r="Y92" s="5"/>
      <c r="Z92" s="5"/>
      <c r="AA92" s="5"/>
      <c r="AB92" s="5"/>
      <c r="AC92" s="5"/>
      <c r="AD92" s="5"/>
      <c r="AE92" s="5"/>
      <c r="AF92" s="5"/>
      <c r="AG92" s="5"/>
      <c r="AH92" s="5"/>
      <c r="AI92" s="5"/>
    </row>
    <row r="93" spans="1:35" x14ac:dyDescent="0.25">
      <c r="A93" s="123" t="s">
        <v>204</v>
      </c>
      <c r="B93" s="123">
        <v>0.38</v>
      </c>
      <c r="C93" s="123">
        <f t="shared" si="34"/>
        <v>3.06</v>
      </c>
      <c r="D93" s="123">
        <v>3.93</v>
      </c>
      <c r="E93" s="123">
        <f t="shared" si="26"/>
        <v>1.4934000000000001</v>
      </c>
      <c r="F93" s="123">
        <f t="shared" si="27"/>
        <v>0.66157143081950875</v>
      </c>
      <c r="G93" s="123">
        <f t="shared" si="28"/>
        <v>230000</v>
      </c>
      <c r="H93" s="123">
        <v>0.1</v>
      </c>
      <c r="I93" s="123">
        <f t="shared" si="29"/>
        <v>2300000</v>
      </c>
      <c r="J93" s="123"/>
      <c r="K93" s="123"/>
      <c r="L93" s="123">
        <f>1.2*C93/(E93*G93)</f>
        <v>1.0690516533617481E-5</v>
      </c>
      <c r="M93" s="123">
        <f t="shared" si="30"/>
        <v>93540.849673202625</v>
      </c>
      <c r="N93" s="123">
        <f t="shared" si="31"/>
        <v>4.9808131866192298</v>
      </c>
      <c r="O93" s="123">
        <f t="shared" si="32"/>
        <v>150250.77333732479</v>
      </c>
      <c r="P93" s="123">
        <f t="shared" si="35"/>
        <v>370.42176470588237</v>
      </c>
      <c r="Q93" s="123">
        <f t="shared" si="33"/>
        <v>469.46605858977722</v>
      </c>
      <c r="R93" s="123"/>
      <c r="S93" s="123">
        <f t="shared" si="36"/>
        <v>68.547060000000002</v>
      </c>
      <c r="T93" s="123">
        <f t="shared" si="37"/>
        <v>6.987467889908257</v>
      </c>
      <c r="U93" s="5"/>
      <c r="V93" s="5"/>
      <c r="W93" s="5"/>
      <c r="X93" s="5"/>
      <c r="Y93" s="5"/>
      <c r="Z93" s="5"/>
      <c r="AA93" s="5"/>
      <c r="AB93" s="5"/>
      <c r="AC93" s="5"/>
      <c r="AD93" s="5"/>
      <c r="AE93" s="5"/>
      <c r="AF93" s="5"/>
      <c r="AG93" s="5"/>
      <c r="AH93" s="5"/>
      <c r="AI93" s="5"/>
    </row>
    <row r="94" spans="1:35" x14ac:dyDescent="0.25">
      <c r="A94" s="123" t="s">
        <v>205</v>
      </c>
      <c r="B94" s="123">
        <v>0.38</v>
      </c>
      <c r="C94" s="123">
        <f t="shared" si="34"/>
        <v>3.06</v>
      </c>
      <c r="D94" s="123">
        <v>3.23</v>
      </c>
      <c r="E94" s="123">
        <f t="shared" si="26"/>
        <v>1.2274</v>
      </c>
      <c r="F94" s="123">
        <f t="shared" si="27"/>
        <v>0.75837771421018352</v>
      </c>
      <c r="G94" s="123">
        <f t="shared" si="28"/>
        <v>230000</v>
      </c>
      <c r="H94" s="123">
        <v>0.1</v>
      </c>
      <c r="I94" s="123">
        <f t="shared" si="29"/>
        <v>2300000</v>
      </c>
      <c r="J94" s="123"/>
      <c r="K94" s="123"/>
      <c r="L94" s="123">
        <f>1.2*C94/(E94*G94)</f>
        <v>1.3007346742141394E-5</v>
      </c>
      <c r="M94" s="123">
        <f t="shared" si="30"/>
        <v>76879.629629629635</v>
      </c>
      <c r="N94" s="123">
        <f t="shared" si="31"/>
        <v>4.4493257916228162</v>
      </c>
      <c r="O94" s="123">
        <f t="shared" si="32"/>
        <v>145879.62962962966</v>
      </c>
      <c r="P94" s="123">
        <f t="shared" si="35"/>
        <v>304.44333333333333</v>
      </c>
      <c r="Q94" s="123">
        <f t="shared" si="33"/>
        <v>419.3707662809976</v>
      </c>
      <c r="R94" s="123"/>
      <c r="S94" s="123">
        <f t="shared" si="36"/>
        <v>56.33766</v>
      </c>
      <c r="T94" s="123">
        <f t="shared" si="37"/>
        <v>5.7428807339449541</v>
      </c>
      <c r="U94" s="5"/>
      <c r="V94" s="5"/>
      <c r="W94" s="5"/>
      <c r="X94" s="5"/>
      <c r="Y94" s="5"/>
      <c r="Z94" s="5"/>
      <c r="AA94" s="5"/>
      <c r="AB94" s="5"/>
      <c r="AC94" s="5"/>
      <c r="AD94" s="5"/>
      <c r="AE94" s="5"/>
      <c r="AF94" s="5"/>
      <c r="AG94" s="5"/>
      <c r="AH94" s="5"/>
      <c r="AI94" s="5"/>
    </row>
    <row r="95" spans="1:35" x14ac:dyDescent="0.25">
      <c r="A95" s="123" t="s">
        <v>206</v>
      </c>
      <c r="B95" s="123">
        <v>0.38</v>
      </c>
      <c r="C95" s="123">
        <f t="shared" si="34"/>
        <v>3.06</v>
      </c>
      <c r="D95" s="124">
        <v>0.63</v>
      </c>
      <c r="E95" s="123">
        <f t="shared" si="26"/>
        <v>0.2394</v>
      </c>
      <c r="F95" s="123">
        <f t="shared" si="27"/>
        <v>1.3677511095414314</v>
      </c>
      <c r="G95" s="123">
        <f t="shared" si="28"/>
        <v>230000</v>
      </c>
      <c r="H95" s="123">
        <v>0.1</v>
      </c>
      <c r="I95" s="123">
        <f t="shared" si="29"/>
        <v>2300000</v>
      </c>
      <c r="J95" s="123"/>
      <c r="K95" s="123"/>
      <c r="L95" s="123">
        <f>C95/(E95*G95)*(1.2+H95*(C95/D95)^2)</f>
        <v>1.9779706586786397E-4</v>
      </c>
      <c r="M95" s="123">
        <f t="shared" si="30"/>
        <v>5055.6867242309772</v>
      </c>
      <c r="N95" s="123">
        <f t="shared" si="31"/>
        <v>3.1241798923877608</v>
      </c>
      <c r="O95" s="123">
        <f t="shared" si="32"/>
        <v>124328.62250404744</v>
      </c>
      <c r="P95" s="123">
        <f t="shared" si="35"/>
        <v>59.38058823529412</v>
      </c>
      <c r="Q95" s="123">
        <f t="shared" si="33"/>
        <v>294.46926946486201</v>
      </c>
      <c r="R95" s="123"/>
      <c r="S95" s="123">
        <f t="shared" si="36"/>
        <v>10.98846</v>
      </c>
      <c r="T95" s="123">
        <f t="shared" si="37"/>
        <v>1.1201284403669725</v>
      </c>
      <c r="U95" s="5"/>
      <c r="V95" s="5"/>
      <c r="W95" s="5"/>
      <c r="X95" s="5"/>
      <c r="Y95" s="5"/>
      <c r="Z95" s="5"/>
      <c r="AA95" s="5"/>
      <c r="AB95" s="5"/>
      <c r="AC95" s="5"/>
      <c r="AD95" s="5"/>
      <c r="AE95" s="5"/>
      <c r="AF95" s="5"/>
      <c r="AG95" s="5"/>
      <c r="AH95" s="5"/>
      <c r="AI95" s="5"/>
    </row>
    <row r="96" spans="1:35" x14ac:dyDescent="0.25">
      <c r="A96" s="123" t="s">
        <v>207</v>
      </c>
      <c r="B96" s="123">
        <v>0.38</v>
      </c>
      <c r="C96" s="123">
        <f t="shared" si="34"/>
        <v>3.06</v>
      </c>
      <c r="D96" s="123">
        <v>3.7</v>
      </c>
      <c r="E96" s="123">
        <f t="shared" si="26"/>
        <v>1.4060000000000001</v>
      </c>
      <c r="F96" s="123">
        <f t="shared" si="27"/>
        <v>0.69100496020801494</v>
      </c>
      <c r="G96" s="123">
        <f t="shared" si="28"/>
        <v>230000</v>
      </c>
      <c r="H96" s="123">
        <v>0.1</v>
      </c>
      <c r="I96" s="123">
        <f t="shared" si="29"/>
        <v>2300000</v>
      </c>
      <c r="J96" s="123"/>
      <c r="K96" s="123"/>
      <c r="L96" s="123">
        <f>1.2*C96/(E96*G96)</f>
        <v>1.1355062155977485E-5</v>
      </c>
      <c r="M96" s="123">
        <f t="shared" si="30"/>
        <v>88066.448801742939</v>
      </c>
      <c r="N96" s="123">
        <f t="shared" si="31"/>
        <v>4.8014164576716318</v>
      </c>
      <c r="O96" s="123">
        <f t="shared" si="32"/>
        <v>148301.5839368781</v>
      </c>
      <c r="P96" s="123">
        <f t="shared" si="35"/>
        <v>348.74313725490202</v>
      </c>
      <c r="Q96" s="123">
        <f t="shared" si="33"/>
        <v>452.55703749073604</v>
      </c>
      <c r="R96" s="123"/>
      <c r="S96" s="123">
        <f t="shared" si="36"/>
        <v>64.53540000000001</v>
      </c>
      <c r="T96" s="123">
        <f t="shared" si="37"/>
        <v>6.5785321100917438</v>
      </c>
      <c r="U96" s="5"/>
      <c r="V96" s="5"/>
      <c r="W96" s="5"/>
      <c r="X96" s="5"/>
      <c r="Y96" s="5"/>
      <c r="Z96" s="5"/>
      <c r="AA96" s="5"/>
      <c r="AB96" s="5"/>
      <c r="AC96" s="5"/>
      <c r="AD96" s="5"/>
      <c r="AE96" s="5"/>
      <c r="AF96" s="5"/>
      <c r="AG96" s="5"/>
      <c r="AH96" s="5"/>
      <c r="AI96" s="5"/>
    </row>
    <row r="97" spans="1:35" x14ac:dyDescent="0.25">
      <c r="A97" s="125" t="s">
        <v>239</v>
      </c>
      <c r="B97" s="122">
        <v>0.38</v>
      </c>
      <c r="C97" s="122">
        <f t="shared" si="34"/>
        <v>3.06</v>
      </c>
      <c r="D97" s="122">
        <v>4.25</v>
      </c>
      <c r="E97" s="122">
        <f t="shared" si="26"/>
        <v>1.615</v>
      </c>
      <c r="F97" s="122">
        <f t="shared" si="27"/>
        <v>0.62402305297675686</v>
      </c>
      <c r="G97" s="122">
        <f t="shared" si="28"/>
        <v>230000</v>
      </c>
      <c r="H97" s="122">
        <v>0.1</v>
      </c>
      <c r="I97" s="122">
        <f t="shared" si="29"/>
        <v>2300000</v>
      </c>
      <c r="J97" s="122">
        <f>$J$77/E97</f>
        <v>0.42352941176470593</v>
      </c>
      <c r="K97" s="122">
        <f>1-J97/0.85</f>
        <v>0.50173010380622829</v>
      </c>
      <c r="L97" s="122">
        <f>1.2/K97*C97/(E97*G97)</f>
        <v>1.9702990609958183E-5</v>
      </c>
      <c r="M97" s="122">
        <f t="shared" si="30"/>
        <v>50753.716519287445</v>
      </c>
      <c r="N97" s="122">
        <f t="shared" si="31"/>
        <v>5.2369934122547832</v>
      </c>
      <c r="O97" s="122">
        <f t="shared" si="32"/>
        <v>77064.443162886048</v>
      </c>
      <c r="P97" s="122">
        <f t="shared" si="35"/>
        <v>400.58333333333337</v>
      </c>
      <c r="Q97" s="122">
        <f t="shared" si="33"/>
        <v>493.61230064134793</v>
      </c>
      <c r="R97" s="122"/>
      <c r="S97" s="122">
        <f t="shared" si="36"/>
        <v>74.128500000000003</v>
      </c>
      <c r="T97" s="122">
        <f t="shared" si="37"/>
        <v>7.5564220183486235</v>
      </c>
      <c r="U97" s="5"/>
      <c r="V97" s="5"/>
      <c r="W97" s="5"/>
      <c r="X97" s="5"/>
      <c r="Y97" s="5"/>
      <c r="Z97" s="5"/>
      <c r="AA97" s="5"/>
      <c r="AB97" s="5"/>
      <c r="AC97" s="5"/>
      <c r="AD97" s="5"/>
      <c r="AE97" s="5"/>
      <c r="AF97" s="5"/>
      <c r="AG97" s="5"/>
      <c r="AH97" s="5"/>
      <c r="AI97" s="5"/>
    </row>
    <row r="98" spans="1:35" x14ac:dyDescent="0.25">
      <c r="A98" s="125" t="s">
        <v>239</v>
      </c>
      <c r="B98" s="122">
        <v>0.38</v>
      </c>
      <c r="C98" s="122">
        <f t="shared" si="34"/>
        <v>3.06</v>
      </c>
      <c r="D98" s="122">
        <v>5.25</v>
      </c>
      <c r="E98" s="122">
        <f>B98*D98</f>
        <v>1.9950000000000001</v>
      </c>
      <c r="F98" s="122">
        <f>ATAN(C98/D98)</f>
        <v>0.52771908241431098</v>
      </c>
      <c r="G98" s="122">
        <f t="shared" si="28"/>
        <v>230000</v>
      </c>
      <c r="H98" s="122">
        <v>0.1</v>
      </c>
      <c r="I98" s="122">
        <f>G98/H98</f>
        <v>2300000</v>
      </c>
      <c r="J98" s="122">
        <f>$J$77/E98</f>
        <v>0.34285714285714286</v>
      </c>
      <c r="K98" s="122">
        <f>1-J98/0.85</f>
        <v>0.59663865546218486</v>
      </c>
      <c r="L98" s="122">
        <f>1.2/K98*C98/(E98*G98)</f>
        <v>1.3412833983304863E-5</v>
      </c>
      <c r="M98" s="122">
        <f>1/L98</f>
        <v>74555.459438677441</v>
      </c>
      <c r="N98" s="122">
        <f>SQRT(C98^2+D98^2)</f>
        <v>6.0766849515175627</v>
      </c>
      <c r="O98" s="122">
        <f t="shared" si="32"/>
        <v>99883.622703983565</v>
      </c>
      <c r="P98" s="122">
        <f>G98*E98*0.0033/C98</f>
        <v>494.83823529411762</v>
      </c>
      <c r="Q98" s="122">
        <f t="shared" si="33"/>
        <v>572.75734435186121</v>
      </c>
      <c r="R98" s="122"/>
      <c r="S98" s="122">
        <f>B98*C98*D98*15</f>
        <v>91.57050000000001</v>
      </c>
      <c r="T98" s="122">
        <f>S98/9.81</f>
        <v>9.3344036697247716</v>
      </c>
      <c r="U98" s="5"/>
      <c r="V98" s="5"/>
      <c r="W98" s="5"/>
      <c r="X98" s="5"/>
      <c r="Y98" s="5"/>
      <c r="Z98" s="5"/>
      <c r="AA98" s="5"/>
      <c r="AB98" s="5"/>
      <c r="AC98" s="5"/>
      <c r="AD98" s="5"/>
      <c r="AE98" s="5"/>
      <c r="AF98" s="5"/>
      <c r="AG98" s="5"/>
      <c r="AH98" s="5"/>
      <c r="AI98" s="5"/>
    </row>
    <row r="99" spans="1:35" x14ac:dyDescent="0.25">
      <c r="A99" s="123"/>
      <c r="B99" s="123"/>
      <c r="C99" s="123"/>
      <c r="D99" s="123"/>
      <c r="E99" s="123"/>
      <c r="F99" s="123"/>
      <c r="G99" s="123"/>
      <c r="H99" s="123"/>
      <c r="I99" s="123"/>
      <c r="J99" s="123"/>
      <c r="K99" s="123"/>
      <c r="L99" s="123"/>
      <c r="M99" s="123"/>
      <c r="N99" s="123"/>
      <c r="O99" s="123"/>
      <c r="P99" s="123"/>
      <c r="Q99" s="123"/>
      <c r="R99" s="123"/>
      <c r="S99" s="123"/>
      <c r="T99" s="123"/>
      <c r="U99" s="5"/>
      <c r="V99" s="5"/>
      <c r="W99" s="5"/>
      <c r="X99" s="5"/>
      <c r="Y99" s="5"/>
      <c r="Z99" s="5"/>
      <c r="AA99" s="5"/>
      <c r="AB99" s="5"/>
      <c r="AC99" s="5"/>
      <c r="AD99" s="5"/>
      <c r="AE99" s="5"/>
      <c r="AF99" s="5"/>
      <c r="AG99" s="5"/>
      <c r="AH99" s="5"/>
      <c r="AI99" s="5"/>
    </row>
    <row r="100" spans="1:35" x14ac:dyDescent="0.25">
      <c r="A100" s="122" t="s">
        <v>210</v>
      </c>
      <c r="B100" s="122">
        <v>0.38</v>
      </c>
      <c r="C100" s="122">
        <f>C97</f>
        <v>3.06</v>
      </c>
      <c r="D100" s="122">
        <v>3.5</v>
      </c>
      <c r="E100" s="122">
        <f>B100*D100</f>
        <v>1.33</v>
      </c>
      <c r="F100" s="122">
        <f>ATAN(C100/D100)</f>
        <v>0.71842530518803183</v>
      </c>
      <c r="G100" s="122">
        <f>230000</f>
        <v>230000</v>
      </c>
      <c r="H100" s="122">
        <v>0.1</v>
      </c>
      <c r="I100" s="122">
        <f>G100/H100</f>
        <v>2300000</v>
      </c>
      <c r="J100" s="122">
        <f>$J$79/E100</f>
        <v>0.51428571428571435</v>
      </c>
      <c r="K100" s="122">
        <f>1-J100/0.85</f>
        <v>0.39495798319327724</v>
      </c>
      <c r="L100" s="122">
        <f>1.2/K100*C100/(E100*G100)</f>
        <v>3.0392911047275923E-5</v>
      </c>
      <c r="M100" s="122">
        <f>1/L100</f>
        <v>32902.409329744958</v>
      </c>
      <c r="N100" s="122">
        <f>SQRT(C100^2+D100^2)</f>
        <v>4.6490429122562418</v>
      </c>
      <c r="O100" s="122">
        <f>M100/(COS(F100))^2</f>
        <v>58052.205248112281</v>
      </c>
      <c r="P100" s="122">
        <f>G100*E100*0.0033/C100</f>
        <v>329.89215686274508</v>
      </c>
      <c r="Q100" s="122">
        <f>P100/COS(F100)</f>
        <v>438.19508390619126</v>
      </c>
      <c r="R100" s="122"/>
      <c r="S100" s="122">
        <f>B100*C100*D100*15</f>
        <v>61.046999999999997</v>
      </c>
      <c r="T100" s="122">
        <f>S100/9.81</f>
        <v>6.2229357798165132</v>
      </c>
      <c r="U100" s="5"/>
      <c r="V100" s="5"/>
      <c r="W100" s="5"/>
      <c r="X100" s="5"/>
      <c r="Y100" s="5"/>
      <c r="Z100" s="5"/>
      <c r="AA100" s="5"/>
      <c r="AB100" s="5"/>
      <c r="AC100" s="5"/>
      <c r="AD100" s="5"/>
      <c r="AE100" s="5"/>
      <c r="AF100" s="5"/>
      <c r="AG100" s="5"/>
      <c r="AH100" s="5"/>
      <c r="AI100" s="5"/>
    </row>
    <row r="101" spans="1:35" x14ac:dyDescent="0.25">
      <c r="A101" s="122" t="s">
        <v>211</v>
      </c>
      <c r="B101" s="122">
        <v>0.38</v>
      </c>
      <c r="C101" s="122">
        <f>C100</f>
        <v>3.06</v>
      </c>
      <c r="D101" s="122">
        <v>3.25</v>
      </c>
      <c r="E101" s="122">
        <f>B101*D101</f>
        <v>1.2350000000000001</v>
      </c>
      <c r="F101" s="122">
        <f>ATAN(C101/D101)</f>
        <v>0.75529632363752974</v>
      </c>
      <c r="G101" s="122">
        <f>230000</f>
        <v>230000</v>
      </c>
      <c r="H101" s="122">
        <v>0.1</v>
      </c>
      <c r="I101" s="122">
        <f>G101/H101</f>
        <v>2300000</v>
      </c>
      <c r="J101" s="122">
        <f>J78/E101</f>
        <v>0.24615384615384617</v>
      </c>
      <c r="K101" s="122">
        <f>1-J101/0.85</f>
        <v>0.71040723981900444</v>
      </c>
      <c r="L101" s="122">
        <f>1.2/K101*C101/(E101*G101)</f>
        <v>1.8197029544228892E-5</v>
      </c>
      <c r="M101" s="122">
        <f>1/L101</f>
        <v>54954.024093297448</v>
      </c>
      <c r="N101" s="122">
        <f>SQRT(C101^2+D101^2)</f>
        <v>4.4638660374164454</v>
      </c>
      <c r="O101" s="122">
        <f>M101/(COS(F101))^2</f>
        <v>103670.47379743945</v>
      </c>
      <c r="P101" s="122">
        <f>G101*E101*0.0033/C101</f>
        <v>306.32843137254901</v>
      </c>
      <c r="Q101" s="122">
        <f>P101/COS(F101)</f>
        <v>420.74125572276182</v>
      </c>
      <c r="R101" s="122"/>
      <c r="S101" s="122">
        <f>B101*C101*D101*15</f>
        <v>56.686500000000002</v>
      </c>
      <c r="T101" s="122">
        <f>S101/9.81</f>
        <v>5.7784403669724771</v>
      </c>
      <c r="U101" s="5"/>
      <c r="V101" s="5"/>
      <c r="W101" s="5"/>
      <c r="X101" s="5"/>
      <c r="Y101" s="5"/>
      <c r="Z101" s="5"/>
      <c r="AA101" s="5"/>
      <c r="AB101" s="5"/>
      <c r="AC101" s="5"/>
      <c r="AD101" s="5"/>
      <c r="AE101" s="5"/>
      <c r="AF101" s="5"/>
      <c r="AG101" s="5"/>
      <c r="AH101" s="5"/>
      <c r="AI101" s="5"/>
    </row>
    <row r="102" spans="1:35" x14ac:dyDescent="0.25">
      <c r="A102" s="122" t="s">
        <v>212</v>
      </c>
      <c r="B102" s="122">
        <v>0.38</v>
      </c>
      <c r="C102" s="122">
        <f>C100</f>
        <v>3.06</v>
      </c>
      <c r="D102" s="122">
        <v>4.75</v>
      </c>
      <c r="E102" s="122">
        <f>B102*D102</f>
        <v>1.8049999999999999</v>
      </c>
      <c r="F102" s="122">
        <f>ATAN(C102/D102)</f>
        <v>0.57229451909906992</v>
      </c>
      <c r="G102" s="122">
        <f>230000</f>
        <v>230000</v>
      </c>
      <c r="H102" s="122">
        <v>0.1</v>
      </c>
      <c r="I102" s="122">
        <f>G102/H102</f>
        <v>2300000</v>
      </c>
      <c r="J102" s="122">
        <f>$J$79/E102</f>
        <v>0.3789473684210527</v>
      </c>
      <c r="K102" s="122">
        <f>1-J102/0.85</f>
        <v>0.55417956656346745</v>
      </c>
      <c r="L102" s="122">
        <f>1.2/K102*C102/(E102*G102)</f>
        <v>1.5960523119798526E-5</v>
      </c>
      <c r="M102" s="122">
        <f>1/L102</f>
        <v>62654.587978982439</v>
      </c>
      <c r="N102" s="122">
        <f>SQRT(C102^2+D102^2)</f>
        <v>5.650318575089373</v>
      </c>
      <c r="O102" s="122">
        <f>M102/(COS(F102))^2</f>
        <v>88656.693242140347</v>
      </c>
      <c r="P102" s="122">
        <f>G102*E102*0.0033/C102</f>
        <v>447.71078431372547</v>
      </c>
      <c r="Q102" s="122">
        <f>P102/COS(F102)</f>
        <v>532.57022334224735</v>
      </c>
      <c r="R102" s="122"/>
      <c r="S102" s="122">
        <f>B102*C102*D102*15</f>
        <v>82.849499999999992</v>
      </c>
      <c r="T102" s="122">
        <f>S102/9.81</f>
        <v>8.4454128440366958</v>
      </c>
      <c r="U102" s="5"/>
      <c r="V102" s="5"/>
      <c r="W102" s="5"/>
      <c r="X102" s="5"/>
      <c r="Y102" s="5"/>
      <c r="Z102" s="5"/>
      <c r="AA102" s="5"/>
      <c r="AB102" s="5"/>
      <c r="AC102" s="5"/>
      <c r="AD102" s="5"/>
      <c r="AE102" s="5"/>
      <c r="AF102" s="5"/>
      <c r="AG102" s="5"/>
      <c r="AH102" s="5"/>
      <c r="AI102" s="5"/>
    </row>
    <row r="103" spans="1:35" x14ac:dyDescent="0.25">
      <c r="A103" s="123" t="s">
        <v>213</v>
      </c>
      <c r="B103" s="123">
        <v>0.38</v>
      </c>
      <c r="C103" s="123">
        <f>C101</f>
        <v>3.06</v>
      </c>
      <c r="D103" s="123">
        <v>4.95</v>
      </c>
      <c r="E103" s="123">
        <f>B103*D103</f>
        <v>1.881</v>
      </c>
      <c r="F103" s="123">
        <f>ATAN(C103/D103)</f>
        <v>0.55368132220699762</v>
      </c>
      <c r="G103" s="123">
        <f>230000</f>
        <v>230000</v>
      </c>
      <c r="H103" s="123">
        <v>0.1</v>
      </c>
      <c r="I103" s="123">
        <f>G103/H103</f>
        <v>2300000</v>
      </c>
      <c r="J103" s="123"/>
      <c r="K103" s="123"/>
      <c r="L103" s="123">
        <f>1.2*C103/(E103*G103)</f>
        <v>8.4876222175993337E-6</v>
      </c>
      <c r="M103" s="123">
        <f>1/L103</f>
        <v>117818.62745098041</v>
      </c>
      <c r="N103" s="123">
        <f>SQRT(C103^2+D103^2)</f>
        <v>5.8194587377177962</v>
      </c>
      <c r="O103" s="123">
        <f>M103/(COS(F103))^2</f>
        <v>162842.86987522282</v>
      </c>
      <c r="P103" s="123">
        <f>G103*E103*0.0033/C103</f>
        <v>466.56176470588235</v>
      </c>
      <c r="Q103" s="123">
        <f>P103/COS(F103)</f>
        <v>548.51251278842039</v>
      </c>
      <c r="R103" s="123"/>
      <c r="S103" s="123">
        <f>B103*C103*D103*15</f>
        <v>86.337900000000005</v>
      </c>
      <c r="T103" s="123">
        <f>S103/9.81</f>
        <v>8.8010091743119272</v>
      </c>
      <c r="U103" s="5"/>
      <c r="V103" s="5"/>
      <c r="W103" s="5"/>
      <c r="X103" s="5"/>
      <c r="Y103" s="5"/>
      <c r="Z103" s="5"/>
      <c r="AA103" s="5"/>
      <c r="AB103" s="5"/>
      <c r="AC103" s="5"/>
      <c r="AD103" s="5"/>
      <c r="AE103" s="5"/>
      <c r="AF103" s="5"/>
      <c r="AG103" s="5"/>
      <c r="AH103" s="5"/>
      <c r="AI103" s="5"/>
    </row>
    <row r="104" spans="1:35" x14ac:dyDescent="0.25">
      <c r="A104" s="122" t="s">
        <v>240</v>
      </c>
      <c r="B104" s="122">
        <v>0.38</v>
      </c>
      <c r="C104" s="123">
        <f>C102</f>
        <v>3.06</v>
      </c>
      <c r="D104" s="122">
        <f t="shared" ref="D104:I104" si="38">D100</f>
        <v>3.5</v>
      </c>
      <c r="E104" s="122">
        <f t="shared" si="38"/>
        <v>1.33</v>
      </c>
      <c r="F104" s="122">
        <f t="shared" si="38"/>
        <v>0.71842530518803183</v>
      </c>
      <c r="G104" s="122">
        <f t="shared" si="38"/>
        <v>230000</v>
      </c>
      <c r="H104" s="122">
        <f t="shared" si="38"/>
        <v>0.1</v>
      </c>
      <c r="I104" s="122">
        <f t="shared" si="38"/>
        <v>2300000</v>
      </c>
      <c r="J104" s="122"/>
      <c r="K104" s="122"/>
      <c r="L104" s="123">
        <f>1.2*C104/(E104*G104)</f>
        <v>1.2003922850604772E-5</v>
      </c>
      <c r="M104" s="123">
        <f>1/L104</f>
        <v>83306.100217864921</v>
      </c>
      <c r="N104" s="123">
        <f>SQRT(C104^2+D104^2)</f>
        <v>4.6490429122562418</v>
      </c>
      <c r="O104" s="123">
        <f>M104/(COS(F104))^2</f>
        <v>146983.24307500775</v>
      </c>
      <c r="P104" s="123">
        <f>G104*E104*0.0033/C104</f>
        <v>329.89215686274508</v>
      </c>
      <c r="Q104" s="123">
        <f>P104/COS(F104)</f>
        <v>438.19508390619126</v>
      </c>
      <c r="R104" s="123"/>
      <c r="S104" s="123">
        <f>B104*C104*D104*15</f>
        <v>61.046999999999997</v>
      </c>
      <c r="T104" s="123">
        <f>S104/9.81</f>
        <v>6.2229357798165132</v>
      </c>
    </row>
    <row r="106" spans="1:35" x14ac:dyDescent="0.25">
      <c r="A106" s="117" t="s">
        <v>241</v>
      </c>
      <c r="B106" s="123">
        <v>0.38</v>
      </c>
      <c r="C106" s="123">
        <v>0.9</v>
      </c>
      <c r="D106" s="123">
        <v>1.8</v>
      </c>
      <c r="E106" s="123">
        <f>B106*D106</f>
        <v>0.68400000000000005</v>
      </c>
      <c r="F106" s="123">
        <f>ATAN(C106/D106)</f>
        <v>0.46364760900080609</v>
      </c>
      <c r="G106" s="123">
        <f>230000</f>
        <v>230000</v>
      </c>
      <c r="H106" s="123">
        <v>0.1</v>
      </c>
      <c r="I106" s="123">
        <f>G106/H106</f>
        <v>2300000</v>
      </c>
      <c r="J106" s="123"/>
      <c r="K106" s="123"/>
      <c r="L106" s="123">
        <f>1.2*C106/(E106*G106)</f>
        <v>6.8649885583524035E-6</v>
      </c>
      <c r="M106" s="123">
        <f>1/L106</f>
        <v>145666.66666666666</v>
      </c>
      <c r="N106" s="123">
        <f>SQRT(C106^2+D106^2)</f>
        <v>2.0124611797498111</v>
      </c>
      <c r="O106" s="123">
        <f>M106/(COS(F106))^2</f>
        <v>182083.33333333334</v>
      </c>
      <c r="P106" s="123">
        <f>G106*E106*0.0033/C106</f>
        <v>576.83999999999992</v>
      </c>
      <c r="Q106" s="123">
        <f>P106/COS(F106)</f>
        <v>644.92672607048928</v>
      </c>
      <c r="R106" s="123"/>
      <c r="S106" s="123">
        <f>B106*C106*D106*15</f>
        <v>9.234</v>
      </c>
      <c r="T106" s="123">
        <f>S106/9.81</f>
        <v>0.94128440366972477</v>
      </c>
    </row>
    <row r="107" spans="1:35" x14ac:dyDescent="0.25">
      <c r="A107" s="99"/>
      <c r="B107" s="123">
        <v>0.38</v>
      </c>
      <c r="C107" s="123">
        <v>1.7</v>
      </c>
      <c r="D107" s="123">
        <v>1</v>
      </c>
      <c r="E107" s="123">
        <f>B107*D107</f>
        <v>0.38</v>
      </c>
      <c r="F107" s="123">
        <f>ATAN(C107/D107)</f>
        <v>1.0390722595360911</v>
      </c>
      <c r="G107" s="123">
        <f>230000</f>
        <v>230000</v>
      </c>
      <c r="H107" s="123">
        <v>0.1</v>
      </c>
      <c r="I107" s="123">
        <f>G107/H107</f>
        <v>2300000</v>
      </c>
      <c r="J107" s="123"/>
      <c r="K107" s="123"/>
      <c r="L107" s="123">
        <f>1.2*C107/(E107*G107)</f>
        <v>2.334096109839817E-5</v>
      </c>
      <c r="M107" s="123">
        <f>1/L107</f>
        <v>42843.137254901958</v>
      </c>
      <c r="N107" s="123">
        <f>SQRT(C107^2+D107^2)</f>
        <v>1.972308292331602</v>
      </c>
      <c r="O107" s="123">
        <f>M107/(COS(F107))^2</f>
        <v>166659.80392156861</v>
      </c>
      <c r="P107" s="123">
        <f>G107*E107*0.0033/C107</f>
        <v>169.65882352941179</v>
      </c>
      <c r="Q107" s="123">
        <f>P107/COS(F107)</f>
        <v>334.61950451428282</v>
      </c>
      <c r="R107" s="123"/>
      <c r="S107" s="123">
        <f>B107*C107*D107*15</f>
        <v>9.69</v>
      </c>
      <c r="T107" s="123">
        <f>S107/9.81</f>
        <v>0.98776758409785925</v>
      </c>
    </row>
    <row r="113" spans="1:20" x14ac:dyDescent="0.25">
      <c r="D113" s="294" t="s">
        <v>242</v>
      </c>
      <c r="E113" s="294"/>
      <c r="F113" s="294"/>
      <c r="G113" s="294"/>
      <c r="H113" s="294"/>
      <c r="I113" s="294"/>
      <c r="J113" s="294"/>
      <c r="K113" s="121"/>
      <c r="L113" s="121"/>
      <c r="M113" s="121"/>
      <c r="N113" s="121"/>
    </row>
    <row r="114" spans="1:20" x14ac:dyDescent="0.25">
      <c r="D114" s="294"/>
      <c r="E114" s="294"/>
      <c r="F114" s="294"/>
      <c r="G114" s="294"/>
      <c r="H114" s="294"/>
      <c r="I114" s="294"/>
      <c r="J114" s="294"/>
      <c r="K114" s="121"/>
      <c r="L114" s="121"/>
      <c r="M114" s="121"/>
      <c r="N114" s="121"/>
    </row>
    <row r="115" spans="1:20" x14ac:dyDescent="0.25">
      <c r="D115" s="294"/>
      <c r="E115" s="294"/>
      <c r="F115" s="294"/>
      <c r="G115" s="294"/>
      <c r="H115" s="294"/>
      <c r="I115" s="294"/>
      <c r="J115" s="294"/>
      <c r="K115" s="121"/>
      <c r="L115" s="121"/>
      <c r="M115" s="121"/>
      <c r="N115" s="121"/>
    </row>
    <row r="116" spans="1:20" x14ac:dyDescent="0.25">
      <c r="I116" s="121"/>
      <c r="J116" s="121"/>
      <c r="K116" s="121"/>
      <c r="L116" s="121"/>
      <c r="M116" s="121"/>
      <c r="N116" s="121"/>
    </row>
    <row r="117" spans="1:20" x14ac:dyDescent="0.25">
      <c r="A117" s="99" t="s">
        <v>184</v>
      </c>
      <c r="B117" s="99" t="s">
        <v>185</v>
      </c>
      <c r="C117" s="99" t="s">
        <v>186</v>
      </c>
      <c r="D117" s="99" t="s">
        <v>187</v>
      </c>
      <c r="E117" s="99" t="s">
        <v>188</v>
      </c>
      <c r="F117" s="99" t="s">
        <v>189</v>
      </c>
      <c r="G117" s="99" t="s">
        <v>190</v>
      </c>
      <c r="H117" s="99" t="s">
        <v>191</v>
      </c>
      <c r="I117" s="99" t="s">
        <v>192</v>
      </c>
      <c r="J117" s="117" t="s">
        <v>234</v>
      </c>
      <c r="K117" s="117" t="s">
        <v>235</v>
      </c>
      <c r="L117" s="99" t="s">
        <v>193</v>
      </c>
      <c r="M117" s="99" t="s">
        <v>161</v>
      </c>
      <c r="N117" s="99" t="s">
        <v>194</v>
      </c>
      <c r="O117" s="99" t="s">
        <v>195</v>
      </c>
      <c r="P117" s="99" t="s">
        <v>196</v>
      </c>
      <c r="Q117" s="99" t="s">
        <v>197</v>
      </c>
      <c r="R117" s="99"/>
      <c r="S117" s="99" t="s">
        <v>198</v>
      </c>
      <c r="T117" s="99" t="s">
        <v>199</v>
      </c>
    </row>
    <row r="118" spans="1:20" x14ac:dyDescent="0.25">
      <c r="A118" s="122" t="s">
        <v>200</v>
      </c>
      <c r="B118" s="122">
        <v>0.38</v>
      </c>
      <c r="C118" s="122">
        <v>3.06</v>
      </c>
      <c r="D118" s="122">
        <v>6.49</v>
      </c>
      <c r="E118" s="122">
        <f t="shared" ref="E118:E127" si="39">B118*D118</f>
        <v>2.4662000000000002</v>
      </c>
      <c r="F118" s="122">
        <f t="shared" ref="F118:F127" si="40">ATAN(C118/D118)</f>
        <v>0.44058436741375206</v>
      </c>
      <c r="G118" s="122">
        <f>H118*I118</f>
        <v>400000</v>
      </c>
      <c r="H118" s="122">
        <v>0.1</v>
      </c>
      <c r="I118" s="122">
        <v>4000000</v>
      </c>
      <c r="J118" s="122">
        <f>$J$77/E118</f>
        <v>0.27734976887519258</v>
      </c>
      <c r="K118" s="122">
        <f>1-J118/0.85</f>
        <v>0.67370615426447933</v>
      </c>
      <c r="L118" s="122">
        <f>1.2/K118*C118/(E118*G118)</f>
        <v>5.5251474576391189E-6</v>
      </c>
      <c r="M118" s="122">
        <f t="shared" ref="M118:M127" si="41">1/L118</f>
        <v>180990.64462386267</v>
      </c>
      <c r="N118" s="122">
        <f t="shared" ref="N118:N127" si="42">SQRT(C118^2+D118^2)</f>
        <v>7.1752142825144949</v>
      </c>
      <c r="O118" s="122">
        <f t="shared" ref="O118:O127" si="43">M118/(COS(F118))^2</f>
        <v>221226.16163355639</v>
      </c>
      <c r="P118" s="122">
        <f>G118*E118*0.0033/C118</f>
        <v>1063.850980392157</v>
      </c>
      <c r="Q118" s="122">
        <f t="shared" ref="Q118:Q127" si="44">P118/COS(F118)</f>
        <v>1176.1723804278665</v>
      </c>
      <c r="R118" s="122"/>
      <c r="S118" s="122">
        <f>B118*C118*D118*15</f>
        <v>113.19858000000001</v>
      </c>
      <c r="T118" s="122">
        <f>S118/9.81</f>
        <v>11.539100917431194</v>
      </c>
    </row>
    <row r="119" spans="1:20" x14ac:dyDescent="0.25">
      <c r="A119" s="122" t="s">
        <v>201</v>
      </c>
      <c r="B119" s="122">
        <v>0.38</v>
      </c>
      <c r="C119" s="122">
        <f t="shared" ref="C119:C127" si="45">C118</f>
        <v>3.06</v>
      </c>
      <c r="D119" s="122">
        <v>4.08</v>
      </c>
      <c r="E119" s="122">
        <f t="shared" si="39"/>
        <v>1.5504</v>
      </c>
      <c r="F119" s="122">
        <f t="shared" si="40"/>
        <v>0.64350110879328437</v>
      </c>
      <c r="G119" s="122">
        <f t="shared" ref="G119:G133" si="46">H119*I119</f>
        <v>400000</v>
      </c>
      <c r="H119" s="122">
        <v>0.1</v>
      </c>
      <c r="I119" s="122">
        <v>4000000</v>
      </c>
      <c r="J119" s="122">
        <f>$J$77/E119</f>
        <v>0.44117647058823534</v>
      </c>
      <c r="K119" s="122">
        <f>1-J119/0.85</f>
        <v>0.48096885813148782</v>
      </c>
      <c r="L119" s="122">
        <f>1.2/K119*C119/(E119*G119)</f>
        <v>1.2310677773570618E-5</v>
      </c>
      <c r="M119" s="122">
        <f t="shared" si="41"/>
        <v>81230.29603998462</v>
      </c>
      <c r="N119" s="122">
        <f t="shared" si="42"/>
        <v>5.0999999999999996</v>
      </c>
      <c r="O119" s="122">
        <f t="shared" si="43"/>
        <v>126922.33756247595</v>
      </c>
      <c r="P119" s="122">
        <f t="shared" ref="P119:P127" si="47">G119*E119*0.0033/C119</f>
        <v>668.8</v>
      </c>
      <c r="Q119" s="122">
        <f t="shared" si="44"/>
        <v>835.99999999999989</v>
      </c>
      <c r="R119" s="122"/>
      <c r="S119" s="122">
        <f t="shared" ref="S119:S127" si="48">B119*C119*D119*15</f>
        <v>71.163359999999997</v>
      </c>
      <c r="T119" s="122">
        <f t="shared" ref="T119:T127" si="49">S119/9.81</f>
        <v>7.2541651376146783</v>
      </c>
    </row>
    <row r="120" spans="1:20" x14ac:dyDescent="0.25">
      <c r="A120" s="123" t="s">
        <v>202</v>
      </c>
      <c r="B120" s="123">
        <v>0.38</v>
      </c>
      <c r="C120" s="123">
        <f t="shared" si="45"/>
        <v>3.06</v>
      </c>
      <c r="D120" s="123">
        <v>4.4800000000000004</v>
      </c>
      <c r="E120" s="123">
        <f t="shared" si="39"/>
        <v>1.7024000000000001</v>
      </c>
      <c r="F120" s="123">
        <f t="shared" si="40"/>
        <v>0.59924957306042037</v>
      </c>
      <c r="G120" s="123">
        <f t="shared" si="46"/>
        <v>400000</v>
      </c>
      <c r="H120" s="123">
        <v>0.1</v>
      </c>
      <c r="I120" s="123">
        <v>4000000</v>
      </c>
      <c r="J120" s="123"/>
      <c r="K120" s="123"/>
      <c r="L120" s="123">
        <f>1.2*C120/(E120*G120)</f>
        <v>5.3923872180451124E-6</v>
      </c>
      <c r="M120" s="123">
        <f t="shared" si="41"/>
        <v>185446.62309368193</v>
      </c>
      <c r="N120" s="123">
        <f t="shared" si="42"/>
        <v>5.4253110509905333</v>
      </c>
      <c r="O120" s="123">
        <f t="shared" si="43"/>
        <v>271964.48023653904</v>
      </c>
      <c r="P120" s="123">
        <f t="shared" si="47"/>
        <v>734.3686274509804</v>
      </c>
      <c r="Q120" s="123">
        <f t="shared" si="44"/>
        <v>889.32549777021279</v>
      </c>
      <c r="R120" s="123"/>
      <c r="S120" s="123">
        <f t="shared" si="48"/>
        <v>78.140160000000009</v>
      </c>
      <c r="T120" s="123">
        <f t="shared" si="49"/>
        <v>7.9653577981651384</v>
      </c>
    </row>
    <row r="121" spans="1:20" x14ac:dyDescent="0.25">
      <c r="A121" s="123" t="s">
        <v>203</v>
      </c>
      <c r="B121" s="123">
        <v>0.38</v>
      </c>
      <c r="C121" s="123">
        <f t="shared" si="45"/>
        <v>3.06</v>
      </c>
      <c r="D121" s="123">
        <v>1.1100000000000001</v>
      </c>
      <c r="E121" s="123">
        <f t="shared" si="39"/>
        <v>0.42180000000000006</v>
      </c>
      <c r="F121" s="123">
        <f t="shared" si="40"/>
        <v>1.2228127246230629</v>
      </c>
      <c r="G121" s="123">
        <f t="shared" si="46"/>
        <v>400000</v>
      </c>
      <c r="H121" s="123">
        <v>0.1</v>
      </c>
      <c r="I121" s="123">
        <v>4000000</v>
      </c>
      <c r="J121" s="123"/>
      <c r="K121" s="123"/>
      <c r="L121" s="123">
        <f>C121/(E121*G121)*(1.2+H121*(C121/D121)^2)</f>
        <v>3.5547122994741301E-5</v>
      </c>
      <c r="M121" s="123">
        <f t="shared" si="41"/>
        <v>28131.671869701971</v>
      </c>
      <c r="N121" s="123">
        <f t="shared" si="42"/>
        <v>3.2551036849845505</v>
      </c>
      <c r="O121" s="123">
        <f t="shared" si="43"/>
        <v>241924.15845288636</v>
      </c>
      <c r="P121" s="123">
        <f t="shared" si="47"/>
        <v>181.9529411764706</v>
      </c>
      <c r="Q121" s="123">
        <f t="shared" si="44"/>
        <v>533.58170208766364</v>
      </c>
      <c r="R121" s="123"/>
      <c r="S121" s="123">
        <f t="shared" si="48"/>
        <v>19.360620000000004</v>
      </c>
      <c r="T121" s="123">
        <f t="shared" si="49"/>
        <v>1.9735596330275234</v>
      </c>
    </row>
    <row r="122" spans="1:20" x14ac:dyDescent="0.25">
      <c r="A122" s="123" t="s">
        <v>204</v>
      </c>
      <c r="B122" s="123">
        <v>0.38</v>
      </c>
      <c r="C122" s="123">
        <f t="shared" si="45"/>
        <v>3.06</v>
      </c>
      <c r="D122" s="123">
        <v>3.93</v>
      </c>
      <c r="E122" s="123">
        <f t="shared" si="39"/>
        <v>1.4934000000000001</v>
      </c>
      <c r="F122" s="123">
        <f t="shared" si="40"/>
        <v>0.66157143081950875</v>
      </c>
      <c r="G122" s="123">
        <f t="shared" si="46"/>
        <v>400000</v>
      </c>
      <c r="H122" s="123">
        <v>0.1</v>
      </c>
      <c r="I122" s="123">
        <v>4000000</v>
      </c>
      <c r="J122" s="123"/>
      <c r="K122" s="123"/>
      <c r="L122" s="123">
        <f>1.2*C122/(E122*G122)</f>
        <v>6.1470470068300519E-6</v>
      </c>
      <c r="M122" s="123">
        <f t="shared" si="41"/>
        <v>162679.73856209152</v>
      </c>
      <c r="N122" s="123">
        <f t="shared" si="42"/>
        <v>4.9808131866192298</v>
      </c>
      <c r="O122" s="123">
        <f t="shared" si="43"/>
        <v>261305.69276056482</v>
      </c>
      <c r="P122" s="123">
        <f t="shared" si="47"/>
        <v>644.21176470588239</v>
      </c>
      <c r="Q122" s="123">
        <f t="shared" si="44"/>
        <v>816.46271059091691</v>
      </c>
      <c r="R122" s="123"/>
      <c r="S122" s="123">
        <f t="shared" si="48"/>
        <v>68.547060000000002</v>
      </c>
      <c r="T122" s="123">
        <f t="shared" si="49"/>
        <v>6.987467889908257</v>
      </c>
    </row>
    <row r="123" spans="1:20" x14ac:dyDescent="0.25">
      <c r="A123" s="123" t="s">
        <v>205</v>
      </c>
      <c r="B123" s="123">
        <v>0.38</v>
      </c>
      <c r="C123" s="123">
        <f t="shared" si="45"/>
        <v>3.06</v>
      </c>
      <c r="D123" s="123">
        <v>3.23</v>
      </c>
      <c r="E123" s="123">
        <f t="shared" si="39"/>
        <v>1.2274</v>
      </c>
      <c r="F123" s="123">
        <f t="shared" si="40"/>
        <v>0.75837771421018352</v>
      </c>
      <c r="G123" s="123">
        <f t="shared" si="46"/>
        <v>400000</v>
      </c>
      <c r="H123" s="123">
        <v>0.1</v>
      </c>
      <c r="I123" s="123">
        <v>4000000</v>
      </c>
      <c r="J123" s="123"/>
      <c r="K123" s="123"/>
      <c r="L123" s="123">
        <f>1.2*C123/(E123*G123)</f>
        <v>7.4792243767313009E-6</v>
      </c>
      <c r="M123" s="123">
        <f t="shared" si="41"/>
        <v>133703.70370370371</v>
      </c>
      <c r="N123" s="123">
        <f t="shared" si="42"/>
        <v>4.4493257916228162</v>
      </c>
      <c r="O123" s="123">
        <f t="shared" si="43"/>
        <v>253703.70370370374</v>
      </c>
      <c r="P123" s="123">
        <f t="shared" si="47"/>
        <v>529.46666666666658</v>
      </c>
      <c r="Q123" s="123">
        <f t="shared" si="44"/>
        <v>729.34046309738699</v>
      </c>
      <c r="R123" s="123"/>
      <c r="S123" s="123">
        <f t="shared" si="48"/>
        <v>56.33766</v>
      </c>
      <c r="T123" s="123">
        <f t="shared" si="49"/>
        <v>5.7428807339449541</v>
      </c>
    </row>
    <row r="124" spans="1:20" x14ac:dyDescent="0.25">
      <c r="A124" s="123" t="s">
        <v>206</v>
      </c>
      <c r="B124" s="123">
        <v>0.38</v>
      </c>
      <c r="C124" s="123">
        <f t="shared" si="45"/>
        <v>3.06</v>
      </c>
      <c r="D124" s="124">
        <v>0.63</v>
      </c>
      <c r="E124" s="123">
        <f t="shared" si="39"/>
        <v>0.2394</v>
      </c>
      <c r="F124" s="123">
        <f t="shared" si="40"/>
        <v>1.3677511095414314</v>
      </c>
      <c r="G124" s="123">
        <f t="shared" si="46"/>
        <v>400000</v>
      </c>
      <c r="H124" s="123">
        <v>0.1</v>
      </c>
      <c r="I124" s="123">
        <v>4000000</v>
      </c>
      <c r="J124" s="123"/>
      <c r="K124" s="123"/>
      <c r="L124" s="123">
        <f>C124/(E124*G124)*(1.2+H124*(C124/D124)^2)</f>
        <v>1.1373331287402178E-4</v>
      </c>
      <c r="M124" s="123">
        <f t="shared" si="41"/>
        <v>8792.4986508364818</v>
      </c>
      <c r="N124" s="123">
        <f t="shared" si="42"/>
        <v>3.1241798923877608</v>
      </c>
      <c r="O124" s="123">
        <f t="shared" si="43"/>
        <v>216223.69131138682</v>
      </c>
      <c r="P124" s="123">
        <f t="shared" si="47"/>
        <v>103.27058823529411</v>
      </c>
      <c r="Q124" s="123">
        <f t="shared" si="44"/>
        <v>512.12046863454259</v>
      </c>
      <c r="R124" s="123"/>
      <c r="S124" s="123">
        <f t="shared" si="48"/>
        <v>10.98846</v>
      </c>
      <c r="T124" s="123">
        <f t="shared" si="49"/>
        <v>1.1201284403669725</v>
      </c>
    </row>
    <row r="125" spans="1:20" x14ac:dyDescent="0.25">
      <c r="A125" s="123" t="s">
        <v>207</v>
      </c>
      <c r="B125" s="123">
        <v>0.38</v>
      </c>
      <c r="C125" s="123">
        <f t="shared" si="45"/>
        <v>3.06</v>
      </c>
      <c r="D125" s="123">
        <v>3.7</v>
      </c>
      <c r="E125" s="123">
        <f t="shared" si="39"/>
        <v>1.4060000000000001</v>
      </c>
      <c r="F125" s="123">
        <f t="shared" si="40"/>
        <v>0.69100496020801494</v>
      </c>
      <c r="G125" s="123">
        <f t="shared" si="46"/>
        <v>400000</v>
      </c>
      <c r="H125" s="123">
        <v>0.1</v>
      </c>
      <c r="I125" s="123">
        <v>4000000</v>
      </c>
      <c r="J125" s="123"/>
      <c r="K125" s="123"/>
      <c r="L125" s="123">
        <f>1.2*C125/(E125*G125)</f>
        <v>6.5291607396870548E-6</v>
      </c>
      <c r="M125" s="123">
        <f t="shared" si="41"/>
        <v>153159.04139433554</v>
      </c>
      <c r="N125" s="123">
        <f t="shared" si="42"/>
        <v>4.8014164576716318</v>
      </c>
      <c r="O125" s="123">
        <f t="shared" si="43"/>
        <v>257915.79815109234</v>
      </c>
      <c r="P125" s="123">
        <f t="shared" si="47"/>
        <v>606.50980392156862</v>
      </c>
      <c r="Q125" s="123">
        <f t="shared" si="44"/>
        <v>787.05571737519301</v>
      </c>
      <c r="R125" s="123"/>
      <c r="S125" s="123">
        <f t="shared" si="48"/>
        <v>64.53540000000001</v>
      </c>
      <c r="T125" s="123">
        <f t="shared" si="49"/>
        <v>6.5785321100917438</v>
      </c>
    </row>
    <row r="126" spans="1:20" x14ac:dyDescent="0.25">
      <c r="A126" s="125" t="s">
        <v>239</v>
      </c>
      <c r="B126" s="122">
        <v>0.38</v>
      </c>
      <c r="C126" s="122">
        <f t="shared" si="45"/>
        <v>3.06</v>
      </c>
      <c r="D126" s="122">
        <v>4.25</v>
      </c>
      <c r="E126" s="122">
        <f t="shared" si="39"/>
        <v>1.615</v>
      </c>
      <c r="F126" s="122">
        <f t="shared" si="40"/>
        <v>0.62402305297675686</v>
      </c>
      <c r="G126" s="122">
        <f t="shared" si="46"/>
        <v>400000</v>
      </c>
      <c r="H126" s="122">
        <v>0.1</v>
      </c>
      <c r="I126" s="122">
        <v>4000000</v>
      </c>
      <c r="J126" s="122">
        <f>$J$77/E126</f>
        <v>0.42352941176470593</v>
      </c>
      <c r="K126" s="122">
        <f>1-J126/0.85</f>
        <v>0.50173010380622829</v>
      </c>
      <c r="L126" s="122">
        <f>1.2/K126*C126/(E126*G126)</f>
        <v>1.1329219600725955E-5</v>
      </c>
      <c r="M126" s="122">
        <f t="shared" si="41"/>
        <v>88267.333077021642</v>
      </c>
      <c r="N126" s="122">
        <f t="shared" si="42"/>
        <v>5.2369934122547832</v>
      </c>
      <c r="O126" s="122">
        <f t="shared" si="43"/>
        <v>134025.11854414965</v>
      </c>
      <c r="P126" s="122">
        <f t="shared" si="47"/>
        <v>696.66666666666674</v>
      </c>
      <c r="Q126" s="122">
        <f t="shared" si="44"/>
        <v>858.45617502843118</v>
      </c>
      <c r="R126" s="122"/>
      <c r="S126" s="122">
        <f>B126*C126*D126*15</f>
        <v>74.128500000000003</v>
      </c>
      <c r="T126" s="122">
        <f t="shared" si="49"/>
        <v>7.5564220183486235</v>
      </c>
    </row>
    <row r="127" spans="1:20" x14ac:dyDescent="0.25">
      <c r="A127" s="125" t="s">
        <v>239</v>
      </c>
      <c r="B127" s="122">
        <v>0.38</v>
      </c>
      <c r="C127" s="122">
        <f t="shared" si="45"/>
        <v>3.06</v>
      </c>
      <c r="D127" s="122">
        <v>5.25</v>
      </c>
      <c r="E127" s="122">
        <f t="shared" si="39"/>
        <v>1.9950000000000001</v>
      </c>
      <c r="F127" s="122">
        <f t="shared" si="40"/>
        <v>0.52771908241431098</v>
      </c>
      <c r="G127" s="122">
        <f t="shared" si="46"/>
        <v>400000</v>
      </c>
      <c r="H127" s="122">
        <v>0.1</v>
      </c>
      <c r="I127" s="122">
        <v>4000000</v>
      </c>
      <c r="J127" s="122">
        <f>$J$77/E127</f>
        <v>0.34285714285714286</v>
      </c>
      <c r="K127" s="122">
        <f>1-J127/0.85</f>
        <v>0.59663865546218486</v>
      </c>
      <c r="L127" s="122">
        <f>1.2/K127*C127/(E127*G127)</f>
        <v>7.7123795404002967E-6</v>
      </c>
      <c r="M127" s="122">
        <f t="shared" si="41"/>
        <v>129661.66858900423</v>
      </c>
      <c r="N127" s="122">
        <f t="shared" si="42"/>
        <v>6.0766849515175627</v>
      </c>
      <c r="O127" s="122">
        <f t="shared" si="43"/>
        <v>173710.64818084094</v>
      </c>
      <c r="P127" s="122">
        <f t="shared" si="47"/>
        <v>860.58823529411768</v>
      </c>
      <c r="Q127" s="122">
        <f t="shared" si="44"/>
        <v>996.09972930758477</v>
      </c>
      <c r="R127" s="122"/>
      <c r="S127" s="122">
        <f t="shared" si="48"/>
        <v>91.57050000000001</v>
      </c>
      <c r="T127" s="122">
        <f t="shared" si="49"/>
        <v>9.3344036697247716</v>
      </c>
    </row>
    <row r="128" spans="1:20" x14ac:dyDescent="0.25">
      <c r="A128" s="123"/>
      <c r="B128" s="123"/>
      <c r="C128" s="123"/>
      <c r="D128" s="123"/>
      <c r="E128" s="123"/>
      <c r="F128" s="123"/>
      <c r="G128" s="123"/>
      <c r="H128" s="123"/>
      <c r="I128" s="123"/>
      <c r="J128" s="123"/>
      <c r="K128" s="123"/>
      <c r="L128" s="123"/>
      <c r="M128" s="123"/>
      <c r="N128" s="123"/>
      <c r="O128" s="123"/>
      <c r="P128" s="123"/>
      <c r="Q128" s="123"/>
      <c r="R128" s="123"/>
      <c r="S128" s="123"/>
      <c r="T128" s="123"/>
    </row>
    <row r="129" spans="1:20" x14ac:dyDescent="0.25">
      <c r="A129" s="122" t="s">
        <v>210</v>
      </c>
      <c r="B129" s="122">
        <v>0.38</v>
      </c>
      <c r="C129" s="122">
        <f>C126</f>
        <v>3.06</v>
      </c>
      <c r="D129" s="122">
        <v>3.5</v>
      </c>
      <c r="E129" s="122">
        <f>B129*D129</f>
        <v>1.33</v>
      </c>
      <c r="F129" s="122">
        <f>ATAN(C129/D129)</f>
        <v>0.71842530518803183</v>
      </c>
      <c r="G129" s="122">
        <f t="shared" si="46"/>
        <v>400000</v>
      </c>
      <c r="H129" s="122">
        <v>0.1</v>
      </c>
      <c r="I129" s="122">
        <v>4000000</v>
      </c>
      <c r="J129" s="122">
        <f>$J$79/E129</f>
        <v>0.51428571428571435</v>
      </c>
      <c r="K129" s="122">
        <f>1-J129/0.85</f>
        <v>0.39495798319327724</v>
      </c>
      <c r="L129" s="122">
        <f>1.2/K129*C129/(E129*G129)</f>
        <v>1.7475923852183656E-5</v>
      </c>
      <c r="M129" s="122">
        <f>1/L129</f>
        <v>57221.581443034716</v>
      </c>
      <c r="N129" s="122">
        <f>SQRT(C129^2+D129^2)</f>
        <v>4.6490429122562418</v>
      </c>
      <c r="O129" s="122">
        <f>M129/(COS(F129))^2</f>
        <v>100960.35695323876</v>
      </c>
      <c r="P129" s="122">
        <f>G129*E129*0.0033/C129</f>
        <v>573.72549019607834</v>
      </c>
      <c r="Q129" s="122">
        <f>P129/COS(F129)</f>
        <v>762.07840679337596</v>
      </c>
      <c r="R129" s="122"/>
      <c r="S129" s="122">
        <f>B129*C129*D129*15</f>
        <v>61.046999999999997</v>
      </c>
      <c r="T129" s="122">
        <f>S129/9.81</f>
        <v>6.2229357798165132</v>
      </c>
    </row>
    <row r="130" spans="1:20" x14ac:dyDescent="0.25">
      <c r="A130" s="122" t="s">
        <v>211</v>
      </c>
      <c r="B130" s="122">
        <v>0.38</v>
      </c>
      <c r="C130" s="122">
        <f>C129</f>
        <v>3.06</v>
      </c>
      <c r="D130" s="122">
        <v>3.25</v>
      </c>
      <c r="E130" s="122">
        <f>B130*D130</f>
        <v>1.2350000000000001</v>
      </c>
      <c r="F130" s="122">
        <f>ATAN(C130/D130)</f>
        <v>0.75529632363752974</v>
      </c>
      <c r="G130" s="122">
        <f t="shared" si="46"/>
        <v>400000</v>
      </c>
      <c r="H130" s="122">
        <v>0.1</v>
      </c>
      <c r="I130" s="122">
        <v>4000000</v>
      </c>
      <c r="J130" s="122">
        <f>J107/E130</f>
        <v>0</v>
      </c>
      <c r="K130" s="122">
        <f>1-J130/0.85</f>
        <v>1</v>
      </c>
      <c r="L130" s="122">
        <f>1.2/K130*C130/(E130*G130)</f>
        <v>7.4331983805668004E-6</v>
      </c>
      <c r="M130" s="122">
        <f>1/L130</f>
        <v>134531.59041394337</v>
      </c>
      <c r="N130" s="122">
        <f>SQRT(C130^2+D130^2)</f>
        <v>4.4638660374164454</v>
      </c>
      <c r="O130" s="122">
        <f>M130/(COS(F130))^2</f>
        <v>253793.12887548184</v>
      </c>
      <c r="P130" s="122">
        <f>G130*E130*0.0033/C130</f>
        <v>532.7450980392158</v>
      </c>
      <c r="Q130" s="122">
        <f>P130/COS(F130)</f>
        <v>731.72392299610772</v>
      </c>
      <c r="R130" s="122"/>
      <c r="S130" s="122">
        <f>B130*C130*D130*15</f>
        <v>56.686500000000002</v>
      </c>
      <c r="T130" s="122">
        <f>S130/9.81</f>
        <v>5.7784403669724771</v>
      </c>
    </row>
    <row r="131" spans="1:20" x14ac:dyDescent="0.25">
      <c r="A131" s="122" t="s">
        <v>212</v>
      </c>
      <c r="B131" s="122">
        <v>0.38</v>
      </c>
      <c r="C131" s="122">
        <f>C129</f>
        <v>3.06</v>
      </c>
      <c r="D131" s="122">
        <v>4.75</v>
      </c>
      <c r="E131" s="122">
        <f>B131*D131</f>
        <v>1.8049999999999999</v>
      </c>
      <c r="F131" s="122">
        <f>ATAN(C131/D131)</f>
        <v>0.57229451909906992</v>
      </c>
      <c r="G131" s="122">
        <f t="shared" si="46"/>
        <v>400000</v>
      </c>
      <c r="H131" s="122">
        <v>0.1</v>
      </c>
      <c r="I131" s="122">
        <v>4000000</v>
      </c>
      <c r="J131" s="122">
        <f>$J$79/E131</f>
        <v>0.3789473684210527</v>
      </c>
      <c r="K131" s="122">
        <f>1-J131/0.85</f>
        <v>0.55417956656346745</v>
      </c>
      <c r="L131" s="122">
        <f>1.2/K131*C131/(E131*G131)</f>
        <v>9.1773007938841516E-6</v>
      </c>
      <c r="M131" s="122">
        <f>1/L131</f>
        <v>108964.50083301295</v>
      </c>
      <c r="N131" s="122">
        <f>SQRT(C131^2+D131^2)</f>
        <v>5.650318575089373</v>
      </c>
      <c r="O131" s="122">
        <f>M131/(COS(F131))^2</f>
        <v>154185.55346459191</v>
      </c>
      <c r="P131" s="122">
        <f>G131*E131*0.0033/C131</f>
        <v>778.62745098039215</v>
      </c>
      <c r="Q131" s="122">
        <f>P131/COS(F131)</f>
        <v>926.20908407347372</v>
      </c>
      <c r="R131" s="122"/>
      <c r="S131" s="122">
        <f>B131*C131*D131*15</f>
        <v>82.849499999999992</v>
      </c>
      <c r="T131" s="122">
        <f>S131/9.81</f>
        <v>8.4454128440366958</v>
      </c>
    </row>
    <row r="132" spans="1:20" x14ac:dyDescent="0.25">
      <c r="A132" s="123" t="s">
        <v>213</v>
      </c>
      <c r="B132" s="123">
        <v>0.38</v>
      </c>
      <c r="C132" s="123">
        <f>C130</f>
        <v>3.06</v>
      </c>
      <c r="D132" s="123">
        <v>4.95</v>
      </c>
      <c r="E132" s="123">
        <f>B132*D132</f>
        <v>1.881</v>
      </c>
      <c r="F132" s="123">
        <f>ATAN(C132/D132)</f>
        <v>0.55368132220699762</v>
      </c>
      <c r="G132" s="123">
        <f t="shared" si="46"/>
        <v>400000</v>
      </c>
      <c r="H132" s="123">
        <v>0.1</v>
      </c>
      <c r="I132" s="123">
        <v>4000000</v>
      </c>
      <c r="J132" s="123"/>
      <c r="K132" s="123"/>
      <c r="L132" s="123">
        <f>1.2*C132/(E132*G132)</f>
        <v>4.8803827751196169E-6</v>
      </c>
      <c r="M132" s="123">
        <f>1/L132</f>
        <v>204901.96078431373</v>
      </c>
      <c r="N132" s="123">
        <f>SQRT(C132^2+D132^2)</f>
        <v>5.8194587377177962</v>
      </c>
      <c r="O132" s="123">
        <f>M132/(COS(F132))^2</f>
        <v>283204.99108734401</v>
      </c>
      <c r="P132" s="123">
        <f>G132*E132*0.0033/C132</f>
        <v>811.41176470588232</v>
      </c>
      <c r="Q132" s="123">
        <f>P132/COS(F132)</f>
        <v>953.93480484942677</v>
      </c>
      <c r="R132" s="123"/>
      <c r="S132" s="123">
        <f>B132*C132*D132*15</f>
        <v>86.337900000000005</v>
      </c>
      <c r="T132" s="123">
        <f>S132/9.81</f>
        <v>8.8010091743119272</v>
      </c>
    </row>
    <row r="133" spans="1:20" x14ac:dyDescent="0.25">
      <c r="A133" s="122" t="s">
        <v>240</v>
      </c>
      <c r="B133" s="122">
        <v>0.38</v>
      </c>
      <c r="C133" s="123">
        <f>C131</f>
        <v>3.06</v>
      </c>
      <c r="D133" s="122">
        <f>D129</f>
        <v>3.5</v>
      </c>
      <c r="E133" s="122">
        <f>E129</f>
        <v>1.33</v>
      </c>
      <c r="F133" s="122">
        <f>F129</f>
        <v>0.71842530518803183</v>
      </c>
      <c r="G133" s="122">
        <f t="shared" si="46"/>
        <v>400000</v>
      </c>
      <c r="H133" s="122">
        <f>H129</f>
        <v>0.1</v>
      </c>
      <c r="I133" s="122">
        <v>4000000</v>
      </c>
      <c r="J133" s="122"/>
      <c r="K133" s="122"/>
      <c r="L133" s="123">
        <f>1.2*C133/(E133*G133)</f>
        <v>6.9022556390977439E-6</v>
      </c>
      <c r="M133" s="123">
        <f>1/L133</f>
        <v>144880.17429193901</v>
      </c>
      <c r="N133" s="123">
        <f>SQRT(C133^2+D133^2)</f>
        <v>4.6490429122562418</v>
      </c>
      <c r="O133" s="123">
        <f>M133/(COS(F133))^2</f>
        <v>255623.03143479611</v>
      </c>
      <c r="P133" s="123">
        <f>G133*E133*0.0033/C133</f>
        <v>573.72549019607834</v>
      </c>
      <c r="Q133" s="123">
        <f>P133/COS(F133)</f>
        <v>762.07840679337596</v>
      </c>
      <c r="R133" s="123"/>
      <c r="S133" s="123">
        <f>B133*C133*D133*15</f>
        <v>61.046999999999997</v>
      </c>
      <c r="T133" s="123">
        <f>S133/9.81</f>
        <v>6.2229357798165132</v>
      </c>
    </row>
    <row r="135" spans="1:20" x14ac:dyDescent="0.25">
      <c r="A135" s="117" t="s">
        <v>241</v>
      </c>
      <c r="B135" s="123">
        <v>0.38</v>
      </c>
      <c r="C135" s="123">
        <v>0.9</v>
      </c>
      <c r="D135" s="123">
        <v>1.8</v>
      </c>
      <c r="E135" s="123">
        <f>B135*D135</f>
        <v>0.68400000000000005</v>
      </c>
      <c r="F135" s="123">
        <f>ATAN(C135/D135)</f>
        <v>0.46364760900080609</v>
      </c>
      <c r="G135" s="123">
        <f>230000</f>
        <v>230000</v>
      </c>
      <c r="H135" s="123">
        <v>0.1</v>
      </c>
      <c r="I135" s="123">
        <f>G135/H135</f>
        <v>2300000</v>
      </c>
      <c r="J135" s="123"/>
      <c r="K135" s="123"/>
      <c r="L135" s="123">
        <f>1.2*C135/(E135*G135)</f>
        <v>6.8649885583524035E-6</v>
      </c>
      <c r="M135" s="123">
        <f>1/L135</f>
        <v>145666.66666666666</v>
      </c>
      <c r="N135" s="123">
        <f>SQRT(C135^2+D135^2)</f>
        <v>2.0124611797498111</v>
      </c>
      <c r="O135" s="123">
        <f>M135/(COS(F135))^2</f>
        <v>182083.33333333334</v>
      </c>
      <c r="P135" s="123">
        <f>G135*E135*0.0033/C135</f>
        <v>576.83999999999992</v>
      </c>
      <c r="Q135" s="123">
        <f>P135/COS(F135)</f>
        <v>644.92672607048928</v>
      </c>
      <c r="R135" s="123"/>
      <c r="S135" s="123">
        <f>B135*C135*D135*15</f>
        <v>9.234</v>
      </c>
      <c r="T135" s="123">
        <f>S135/9.81</f>
        <v>0.94128440366972477</v>
      </c>
    </row>
    <row r="136" spans="1:20" x14ac:dyDescent="0.25">
      <c r="A136" s="99"/>
      <c r="B136" s="123">
        <v>0.38</v>
      </c>
      <c r="C136" s="123">
        <v>1.7</v>
      </c>
      <c r="D136" s="123">
        <v>1</v>
      </c>
      <c r="E136" s="123">
        <f>B136*D136</f>
        <v>0.38</v>
      </c>
      <c r="F136" s="123">
        <f>ATAN(C136/D136)</f>
        <v>1.0390722595360911</v>
      </c>
      <c r="G136" s="123">
        <f>230000</f>
        <v>230000</v>
      </c>
      <c r="H136" s="123">
        <v>0.1</v>
      </c>
      <c r="I136" s="123">
        <f>G136/H136</f>
        <v>2300000</v>
      </c>
      <c r="J136" s="123"/>
      <c r="K136" s="123"/>
      <c r="L136" s="123">
        <f>1.2*C136/(E136*G136)</f>
        <v>2.334096109839817E-5</v>
      </c>
      <c r="M136" s="123">
        <f>1/L136</f>
        <v>42843.137254901958</v>
      </c>
      <c r="N136" s="123">
        <f>SQRT(C136^2+D136^2)</f>
        <v>1.972308292331602</v>
      </c>
      <c r="O136" s="123">
        <f>M136/(COS(F136))^2</f>
        <v>166659.80392156861</v>
      </c>
      <c r="P136" s="123">
        <f>G136*E136*0.0033/C136</f>
        <v>169.65882352941179</v>
      </c>
      <c r="Q136" s="123">
        <f>P136/COS(F136)</f>
        <v>334.61950451428282</v>
      </c>
      <c r="R136" s="123"/>
      <c r="S136" s="123">
        <f>B136*C136*D136*15</f>
        <v>9.69</v>
      </c>
      <c r="T136" s="123">
        <f>S136/9.81</f>
        <v>0.98776758409785925</v>
      </c>
    </row>
  </sheetData>
  <sheetProtection password="CEEB" sheet="1" objects="1" scenarios="1"/>
  <mergeCells count="3">
    <mergeCell ref="C56:G58"/>
    <mergeCell ref="D84:H86"/>
    <mergeCell ref="D113:J115"/>
  </mergeCells>
  <pageMargins left="0.7" right="0.7" top="0.75" bottom="0.75" header="0.3" footer="0.3"/>
  <pageSetup paperSize="9" orientation="landscape" verticalDpi="0" r:id="rId1"/>
  <drawing r:id="rId2"/>
  <pictur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J164"/>
  <sheetViews>
    <sheetView topLeftCell="A7" workbookViewId="0">
      <selection activeCell="A19" sqref="A19"/>
    </sheetView>
  </sheetViews>
  <sheetFormatPr defaultRowHeight="15" x14ac:dyDescent="0.25"/>
  <cols>
    <col min="1" max="1" width="46.42578125" style="162" customWidth="1"/>
    <col min="2" max="4" width="9.140625" style="162"/>
    <col min="5" max="5" width="17.140625" style="162" customWidth="1"/>
    <col min="6" max="6" width="16.42578125" style="162" customWidth="1"/>
    <col min="7" max="14" width="9.140625" style="162"/>
    <col min="15" max="36" width="9.140625" style="88"/>
  </cols>
  <sheetData>
    <row r="5" spans="1:11" x14ac:dyDescent="0.25">
      <c r="A5" s="161"/>
      <c r="B5" s="161"/>
      <c r="C5" s="161">
        <v>20</v>
      </c>
      <c r="D5" s="161"/>
      <c r="E5" s="161" t="s">
        <v>25</v>
      </c>
      <c r="F5" s="161"/>
      <c r="G5" s="161" t="s">
        <v>26</v>
      </c>
      <c r="H5" s="161"/>
      <c r="I5" s="161"/>
      <c r="J5" s="161"/>
      <c r="K5" s="161">
        <f>IF('1Surface'!E13&gt;0,1,0)</f>
        <v>1</v>
      </c>
    </row>
    <row r="6" spans="1:11" x14ac:dyDescent="0.25">
      <c r="A6" s="161"/>
      <c r="B6" s="161"/>
      <c r="C6" s="161"/>
      <c r="D6" s="161"/>
      <c r="E6" s="161">
        <f>C5*'2Length'!E14*'2Length'!E15*Table11[number]*Table9[L (m1)]</f>
        <v>5400</v>
      </c>
      <c r="F6" s="161"/>
      <c r="G6" s="161"/>
      <c r="H6" s="161"/>
      <c r="I6" s="161"/>
      <c r="J6" s="161"/>
      <c r="K6" s="161">
        <f>IF('1Surface'!E14&gt;0,1,0)</f>
        <v>1</v>
      </c>
    </row>
    <row r="7" spans="1:11" x14ac:dyDescent="0.25">
      <c r="A7" s="161"/>
      <c r="B7" s="161"/>
      <c r="C7" s="161"/>
      <c r="D7" s="161"/>
      <c r="E7" s="161">
        <f>C5*'2Length'!E16*'2Length'!E17*Table11[number]*Table9[L (m1)]</f>
        <v>4050</v>
      </c>
      <c r="F7" s="161"/>
      <c r="G7" s="161"/>
      <c r="H7" s="161"/>
      <c r="I7" s="161"/>
      <c r="J7" s="161"/>
      <c r="K7" s="161">
        <f>IF('1Surface'!E15&gt;0,1,0)</f>
        <v>1</v>
      </c>
    </row>
    <row r="8" spans="1:11" x14ac:dyDescent="0.25">
      <c r="A8" s="161"/>
      <c r="B8" s="161"/>
      <c r="C8" s="161"/>
      <c r="D8" s="161"/>
      <c r="E8" s="161"/>
      <c r="F8" s="161"/>
      <c r="G8" s="161"/>
      <c r="H8" s="161"/>
      <c r="I8" s="161"/>
      <c r="J8" s="161"/>
      <c r="K8" s="161"/>
    </row>
    <row r="9" spans="1:11" x14ac:dyDescent="0.25">
      <c r="A9" s="161"/>
      <c r="B9" s="161"/>
      <c r="C9" s="161">
        <v>5.0000000000000001E-3</v>
      </c>
      <c r="D9" s="161">
        <f>C9*Table3[BAD]</f>
        <v>5.0000000000000001E-3</v>
      </c>
      <c r="E9" s="161"/>
      <c r="F9" s="161"/>
      <c r="G9" s="161"/>
      <c r="H9" s="161"/>
      <c r="I9" s="161"/>
      <c r="J9" s="161"/>
      <c r="K9" s="161"/>
    </row>
    <row r="10" spans="1:11" x14ac:dyDescent="0.25">
      <c r="A10" s="161"/>
      <c r="B10" s="161"/>
      <c r="C10" s="161">
        <v>0.01</v>
      </c>
      <c r="D10" s="161">
        <f>C10*Table3[MIDDLE]</f>
        <v>0</v>
      </c>
      <c r="E10" s="161"/>
      <c r="F10" s="161"/>
      <c r="G10" s="161"/>
      <c r="H10" s="161"/>
      <c r="I10" s="161"/>
      <c r="J10" s="161"/>
      <c r="K10" s="161"/>
    </row>
    <row r="11" spans="1:11" x14ac:dyDescent="0.25">
      <c r="A11" s="161"/>
      <c r="B11" s="161"/>
      <c r="C11" s="161">
        <v>1.4999999999999999E-2</v>
      </c>
      <c r="D11" s="161">
        <f>C11*Table3[GOOD]</f>
        <v>0</v>
      </c>
      <c r="E11" s="161"/>
      <c r="F11" s="161"/>
      <c r="G11" s="161"/>
      <c r="H11" s="161"/>
      <c r="I11" s="161"/>
      <c r="J11" s="161"/>
      <c r="K11" s="161"/>
    </row>
    <row r="12" spans="1:11" x14ac:dyDescent="0.25">
      <c r="A12" s="161"/>
      <c r="B12" s="161"/>
      <c r="C12" s="161"/>
      <c r="D12" s="161">
        <f>SUM(D9:D11)</f>
        <v>5.0000000000000001E-3</v>
      </c>
      <c r="E12" s="161"/>
      <c r="F12" s="161"/>
      <c r="G12" s="161"/>
      <c r="H12" s="161"/>
      <c r="I12" s="161"/>
      <c r="J12" s="161"/>
      <c r="K12" s="161"/>
    </row>
    <row r="13" spans="1:11" x14ac:dyDescent="0.25">
      <c r="A13" s="161"/>
      <c r="B13" s="161"/>
      <c r="C13" s="161"/>
      <c r="D13" s="161"/>
      <c r="E13" s="161"/>
      <c r="F13" s="161"/>
      <c r="G13" s="161"/>
      <c r="H13" s="161"/>
      <c r="I13" s="161"/>
      <c r="J13" s="161"/>
      <c r="K13" s="161"/>
    </row>
    <row r="14" spans="1:11" x14ac:dyDescent="0.25">
      <c r="A14" s="161"/>
      <c r="B14" s="161"/>
      <c r="C14" s="161">
        <v>3</v>
      </c>
      <c r="D14" s="161">
        <f>C14*Table36[3,00 kN/m2]</f>
        <v>3</v>
      </c>
      <c r="E14" s="161"/>
      <c r="F14" s="161"/>
      <c r="G14" s="161"/>
      <c r="H14" s="161"/>
      <c r="I14" s="161"/>
      <c r="J14" s="161"/>
      <c r="K14" s="161"/>
    </row>
    <row r="15" spans="1:11" x14ac:dyDescent="0.25">
      <c r="A15" s="161"/>
      <c r="B15" s="161"/>
      <c r="C15" s="161">
        <v>4</v>
      </c>
      <c r="D15" s="161">
        <f>C15*Table36[4,00 kN/m2]</f>
        <v>0</v>
      </c>
      <c r="E15" s="161"/>
      <c r="F15" s="161"/>
      <c r="G15" s="161"/>
      <c r="H15" s="161"/>
      <c r="I15" s="161"/>
      <c r="J15" s="161"/>
      <c r="K15" s="161"/>
    </row>
    <row r="16" spans="1:11" x14ac:dyDescent="0.25">
      <c r="A16" s="161"/>
      <c r="B16" s="161"/>
      <c r="C16" s="161">
        <v>1</v>
      </c>
      <c r="D16" s="161">
        <f>C16*Table36[or other weight]</f>
        <v>0</v>
      </c>
      <c r="E16" s="161"/>
      <c r="F16" s="161"/>
      <c r="G16" s="161"/>
      <c r="H16" s="161"/>
      <c r="I16" s="161"/>
      <c r="J16" s="161"/>
      <c r="K16" s="161"/>
    </row>
    <row r="17" spans="1:11" x14ac:dyDescent="0.25">
      <c r="A17" s="161"/>
      <c r="B17" s="161"/>
      <c r="C17" s="161"/>
      <c r="D17" s="161">
        <f>SUM(D14:D16)</f>
        <v>3</v>
      </c>
      <c r="E17" s="161">
        <f>D17*'1Surface'!E16</f>
        <v>900</v>
      </c>
      <c r="F17" s="161"/>
      <c r="G17" s="161"/>
      <c r="H17" s="161"/>
      <c r="I17" s="161"/>
      <c r="J17" s="161"/>
      <c r="K17" s="161"/>
    </row>
    <row r="18" spans="1:11" x14ac:dyDescent="0.25">
      <c r="A18" s="161"/>
      <c r="B18" s="161"/>
      <c r="C18" s="161"/>
      <c r="D18" s="161"/>
      <c r="E18" s="161"/>
      <c r="F18" s="161"/>
      <c r="G18" s="161"/>
      <c r="H18" s="161"/>
      <c r="I18" s="161"/>
      <c r="J18" s="161"/>
      <c r="K18" s="161"/>
    </row>
    <row r="19" spans="1:11" x14ac:dyDescent="0.25">
      <c r="A19" s="161"/>
      <c r="B19" s="161"/>
      <c r="C19" s="161"/>
      <c r="D19" s="161"/>
      <c r="E19" s="161"/>
      <c r="F19" s="161"/>
      <c r="G19" s="161"/>
      <c r="H19" s="161"/>
      <c r="I19" s="161"/>
      <c r="J19" s="161"/>
      <c r="K19" s="161"/>
    </row>
    <row r="20" spans="1:11" x14ac:dyDescent="0.25">
      <c r="A20" s="161" t="s">
        <v>27</v>
      </c>
      <c r="B20" s="161"/>
      <c r="C20" s="161">
        <v>2.5</v>
      </c>
      <c r="D20" s="161"/>
      <c r="E20" s="161">
        <f>C20*'1Surface'!E13</f>
        <v>250</v>
      </c>
      <c r="F20" s="161"/>
      <c r="G20" s="161"/>
      <c r="H20" s="161"/>
      <c r="I20" s="161"/>
      <c r="J20" s="161"/>
      <c r="K20" s="161"/>
    </row>
    <row r="21" spans="1:11" ht="30" x14ac:dyDescent="0.25">
      <c r="A21" s="196" t="s">
        <v>74</v>
      </c>
      <c r="B21" s="161">
        <v>1</v>
      </c>
      <c r="C21" s="161"/>
      <c r="D21" s="161"/>
      <c r="E21" s="161"/>
      <c r="F21" s="161"/>
      <c r="G21" s="161"/>
      <c r="H21" s="161"/>
      <c r="I21" s="161"/>
      <c r="J21" s="161"/>
      <c r="K21" s="161"/>
    </row>
    <row r="22" spans="1:11" ht="45" x14ac:dyDescent="0.25">
      <c r="A22" s="196" t="s">
        <v>75</v>
      </c>
      <c r="B22" s="161">
        <v>0</v>
      </c>
      <c r="C22" s="161"/>
      <c r="D22" s="161"/>
      <c r="E22" s="161"/>
      <c r="F22" s="161"/>
      <c r="G22" s="161"/>
      <c r="H22" s="161"/>
      <c r="I22" s="161"/>
      <c r="J22" s="161"/>
      <c r="K22" s="161"/>
    </row>
    <row r="23" spans="1:11" ht="30" x14ac:dyDescent="0.25">
      <c r="A23" s="196" t="s">
        <v>76</v>
      </c>
      <c r="B23" s="161">
        <v>1</v>
      </c>
      <c r="C23" s="161"/>
      <c r="D23" s="161"/>
      <c r="E23" s="161"/>
      <c r="F23" s="161"/>
      <c r="G23" s="161"/>
      <c r="H23" s="161"/>
      <c r="I23" s="161"/>
      <c r="J23" s="161"/>
      <c r="K23" s="161"/>
    </row>
    <row r="24" spans="1:11" x14ac:dyDescent="0.25">
      <c r="A24" s="196"/>
      <c r="B24" s="161"/>
      <c r="C24" s="161"/>
      <c r="D24" s="161"/>
      <c r="E24" s="161"/>
      <c r="F24" s="161"/>
      <c r="G24" s="161"/>
      <c r="H24" s="161"/>
      <c r="I24" s="161"/>
      <c r="J24" s="161"/>
      <c r="K24" s="161"/>
    </row>
    <row r="25" spans="1:11" x14ac:dyDescent="0.25">
      <c r="A25" s="196"/>
      <c r="B25" s="161"/>
      <c r="C25" s="161"/>
      <c r="D25" s="161"/>
      <c r="E25" s="161"/>
      <c r="F25" s="161"/>
      <c r="G25" s="161"/>
      <c r="H25" s="161"/>
      <c r="I25" s="161"/>
      <c r="J25" s="161"/>
      <c r="K25" s="161"/>
    </row>
    <row r="26" spans="1:11" x14ac:dyDescent="0.25">
      <c r="A26" s="196"/>
      <c r="B26" s="161"/>
      <c r="C26" s="161"/>
      <c r="D26" s="161"/>
      <c r="E26" s="161"/>
      <c r="F26" s="161"/>
      <c r="G26" s="161"/>
      <c r="H26" s="161"/>
      <c r="I26" s="161"/>
      <c r="J26" s="161"/>
      <c r="K26" s="161"/>
    </row>
    <row r="27" spans="1:11" x14ac:dyDescent="0.25">
      <c r="A27" s="196"/>
      <c r="B27" s="161"/>
      <c r="C27" s="161"/>
      <c r="D27" s="161"/>
      <c r="E27" s="161"/>
      <c r="F27" s="161"/>
      <c r="G27" s="161"/>
      <c r="H27" s="161"/>
      <c r="I27" s="161"/>
      <c r="J27" s="161"/>
      <c r="K27" s="161"/>
    </row>
    <row r="28" spans="1:11" x14ac:dyDescent="0.25">
      <c r="A28" s="161"/>
      <c r="B28" s="161"/>
      <c r="C28" s="161"/>
      <c r="D28" s="161"/>
      <c r="E28" s="161"/>
      <c r="F28" s="161"/>
      <c r="G28" s="161"/>
      <c r="H28" s="161"/>
      <c r="I28" s="161"/>
      <c r="J28" s="161"/>
      <c r="K28" s="161"/>
    </row>
    <row r="29" spans="1:11" x14ac:dyDescent="0.25">
      <c r="A29" s="161" t="s">
        <v>28</v>
      </c>
      <c r="B29" s="161"/>
      <c r="C29" s="161"/>
      <c r="D29" s="161"/>
      <c r="E29" s="161">
        <f>SUM(E6:E20)</f>
        <v>10600</v>
      </c>
      <c r="F29" s="161"/>
      <c r="G29" s="161">
        <f>E29*Table6[ag]</f>
        <v>4240</v>
      </c>
      <c r="H29" s="161"/>
      <c r="I29" s="161"/>
      <c r="J29" s="161"/>
      <c r="K29" s="161"/>
    </row>
    <row r="30" spans="1:11" x14ac:dyDescent="0.25">
      <c r="A30" s="161"/>
      <c r="B30" s="161"/>
      <c r="C30" s="161"/>
      <c r="D30" s="161"/>
      <c r="E30" s="161"/>
      <c r="F30" s="161"/>
      <c r="G30" s="161"/>
      <c r="H30" s="161"/>
      <c r="I30" s="161"/>
      <c r="J30" s="161"/>
      <c r="K30" s="161"/>
    </row>
    <row r="31" spans="1:11" x14ac:dyDescent="0.25">
      <c r="A31" s="161" t="s">
        <v>30</v>
      </c>
      <c r="B31" s="161"/>
      <c r="C31" s="161"/>
      <c r="D31" s="161"/>
      <c r="E31" s="161"/>
      <c r="F31" s="161">
        <f>'2Length'!E14*'2Length'!E15*Sheet2!D12*10000</f>
        <v>1500</v>
      </c>
      <c r="G31" s="161"/>
      <c r="H31" s="161"/>
      <c r="I31" s="161"/>
      <c r="J31" s="161"/>
      <c r="K31" s="161"/>
    </row>
    <row r="32" spans="1:11" x14ac:dyDescent="0.25">
      <c r="A32" s="161"/>
      <c r="B32" s="161"/>
      <c r="C32" s="161"/>
      <c r="D32" s="161"/>
      <c r="E32" s="161"/>
      <c r="F32" s="161"/>
      <c r="G32" s="161"/>
      <c r="H32" s="161"/>
      <c r="I32" s="161"/>
      <c r="J32" s="161"/>
      <c r="K32" s="161"/>
    </row>
    <row r="33" spans="1:11" x14ac:dyDescent="0.25">
      <c r="A33" s="161" t="s">
        <v>29</v>
      </c>
      <c r="B33" s="161"/>
      <c r="C33" s="161"/>
      <c r="D33" s="161"/>
      <c r="E33" s="161"/>
      <c r="F33" s="161">
        <f>E29-F31</f>
        <v>9100</v>
      </c>
      <c r="G33" s="161"/>
      <c r="H33" s="161"/>
      <c r="I33" s="161"/>
      <c r="J33" s="161"/>
      <c r="K33" s="161"/>
    </row>
    <row r="34" spans="1:11" x14ac:dyDescent="0.25">
      <c r="A34" s="161"/>
      <c r="B34" s="161"/>
      <c r="C34" s="161"/>
      <c r="D34" s="161"/>
      <c r="E34" s="161"/>
      <c r="F34" s="161"/>
      <c r="G34" s="161"/>
      <c r="H34" s="161"/>
      <c r="I34" s="161"/>
      <c r="J34" s="161"/>
      <c r="K34" s="161"/>
    </row>
    <row r="35" spans="1:11" x14ac:dyDescent="0.25">
      <c r="A35" s="161" t="s">
        <v>31</v>
      </c>
      <c r="B35" s="161"/>
      <c r="C35" s="161"/>
      <c r="D35" s="161">
        <f>INT(F33/F35/0.6)+1</f>
        <v>31</v>
      </c>
      <c r="E35" s="161"/>
      <c r="F35" s="163">
        <f>Table11[number]/3*500</f>
        <v>500</v>
      </c>
      <c r="G35" s="161"/>
      <c r="H35" s="161"/>
      <c r="I35" s="161"/>
      <c r="J35" s="161"/>
      <c r="K35" s="161"/>
    </row>
    <row r="36" spans="1:11" x14ac:dyDescent="0.25">
      <c r="A36" s="161"/>
      <c r="B36" s="161"/>
      <c r="C36" s="161"/>
      <c r="D36" s="161"/>
      <c r="E36" s="161"/>
      <c r="F36" s="163"/>
      <c r="G36" s="161"/>
      <c r="H36" s="161"/>
      <c r="I36" s="161"/>
      <c r="J36" s="161"/>
      <c r="K36" s="161"/>
    </row>
    <row r="37" spans="1:11" x14ac:dyDescent="0.25">
      <c r="A37" s="161" t="s">
        <v>51</v>
      </c>
      <c r="B37" s="161"/>
      <c r="C37" s="161"/>
      <c r="D37" s="161"/>
      <c r="E37" s="161"/>
      <c r="F37" s="163"/>
      <c r="G37" s="161"/>
      <c r="H37" s="161"/>
      <c r="I37" s="161"/>
      <c r="J37" s="161"/>
      <c r="K37" s="161"/>
    </row>
    <row r="38" spans="1:11" x14ac:dyDescent="0.25">
      <c r="A38" s="161"/>
      <c r="B38" s="161"/>
      <c r="C38" s="161"/>
      <c r="D38" s="161"/>
      <c r="E38" s="161"/>
      <c r="F38" s="163"/>
      <c r="G38" s="161"/>
      <c r="H38" s="161"/>
      <c r="I38" s="161"/>
      <c r="J38" s="161"/>
      <c r="K38" s="161"/>
    </row>
    <row r="39" spans="1:11" x14ac:dyDescent="0.25">
      <c r="A39" s="161"/>
      <c r="B39" s="161"/>
      <c r="C39" s="161"/>
      <c r="D39" s="161"/>
      <c r="E39" s="161"/>
      <c r="F39" s="163"/>
      <c r="G39" s="161"/>
      <c r="H39" s="161"/>
      <c r="I39" s="161"/>
      <c r="J39" s="161"/>
      <c r="K39" s="161"/>
    </row>
    <row r="40" spans="1:11" x14ac:dyDescent="0.25">
      <c r="A40" s="161"/>
      <c r="B40" s="161"/>
      <c r="C40" s="161"/>
      <c r="D40" s="161"/>
      <c r="E40" s="161"/>
      <c r="F40" s="163"/>
      <c r="G40" s="161"/>
      <c r="H40" s="161"/>
      <c r="I40" s="161"/>
      <c r="J40" s="161"/>
      <c r="K40" s="161"/>
    </row>
    <row r="41" spans="1:11" x14ac:dyDescent="0.25">
      <c r="A41" s="161"/>
      <c r="B41" s="161"/>
      <c r="C41" s="161"/>
      <c r="D41" s="161"/>
      <c r="E41" s="161"/>
      <c r="F41" s="161"/>
      <c r="G41" s="161"/>
      <c r="H41" s="161"/>
      <c r="I41" s="161"/>
      <c r="J41" s="161"/>
      <c r="K41" s="161"/>
    </row>
    <row r="42" spans="1:11" ht="72" customHeight="1" x14ac:dyDescent="0.25">
      <c r="A42" s="164" t="s">
        <v>249</v>
      </c>
      <c r="B42" s="165" t="s">
        <v>32</v>
      </c>
      <c r="C42" s="165">
        <f>B31+IF(Table11[number]&gt;=1,D35,0)</f>
        <v>31</v>
      </c>
      <c r="D42" s="165">
        <v>370</v>
      </c>
      <c r="E42" s="166">
        <f>C42*D42</f>
        <v>11470</v>
      </c>
      <c r="F42" s="165"/>
    </row>
    <row r="43" spans="1:11" ht="73.5" customHeight="1" x14ac:dyDescent="0.25">
      <c r="A43" s="167" t="s">
        <v>250</v>
      </c>
      <c r="B43" s="161" t="s">
        <v>32</v>
      </c>
      <c r="C43" s="161">
        <f>B31+IF(Table11[number]&gt;=2,D35,0)</f>
        <v>31</v>
      </c>
      <c r="D43" s="161">
        <v>380</v>
      </c>
      <c r="E43" s="168">
        <f t="shared" ref="E43:E47" si="0">C43*D43</f>
        <v>11780</v>
      </c>
      <c r="F43" s="161"/>
    </row>
    <row r="44" spans="1:11" ht="68.25" customHeight="1" x14ac:dyDescent="0.25">
      <c r="A44" s="167" t="s">
        <v>251</v>
      </c>
      <c r="B44" s="161" t="s">
        <v>32</v>
      </c>
      <c r="C44" s="161">
        <f>IF(Table11[number]&gt;=3,D35,0)</f>
        <v>31</v>
      </c>
      <c r="D44" s="161">
        <v>390</v>
      </c>
      <c r="E44" s="168">
        <f t="shared" si="0"/>
        <v>12090</v>
      </c>
      <c r="F44" s="161"/>
    </row>
    <row r="45" spans="1:11" ht="123.75" customHeight="1" x14ac:dyDescent="0.25">
      <c r="A45" s="169" t="s">
        <v>252</v>
      </c>
      <c r="B45" s="161" t="s">
        <v>32</v>
      </c>
      <c r="C45" s="161">
        <f>8*Table11[number]</f>
        <v>24</v>
      </c>
      <c r="D45" s="161">
        <v>290</v>
      </c>
      <c r="E45" s="168">
        <f t="shared" si="0"/>
        <v>6960</v>
      </c>
      <c r="F45" s="161"/>
    </row>
    <row r="46" spans="1:11" ht="87.75" customHeight="1" x14ac:dyDescent="0.25">
      <c r="A46" s="170" t="s">
        <v>253</v>
      </c>
      <c r="B46" s="161" t="s">
        <v>32</v>
      </c>
      <c r="C46" s="161"/>
      <c r="D46" s="161"/>
      <c r="E46" s="168">
        <f t="shared" si="0"/>
        <v>0</v>
      </c>
      <c r="F46" s="161"/>
    </row>
    <row r="47" spans="1:11" ht="66" customHeight="1" x14ac:dyDescent="0.25">
      <c r="A47" s="170" t="s">
        <v>254</v>
      </c>
      <c r="B47" s="161" t="s">
        <v>32</v>
      </c>
      <c r="C47" s="161">
        <f>'2Length'!E14/4*Table11[number]/2</f>
        <v>28.125</v>
      </c>
      <c r="D47" s="161">
        <v>300</v>
      </c>
      <c r="E47" s="168">
        <f t="shared" si="0"/>
        <v>8437.5</v>
      </c>
      <c r="F47" s="161"/>
    </row>
    <row r="48" spans="1:11" ht="33" customHeight="1" x14ac:dyDescent="0.25">
      <c r="A48" s="170" t="s">
        <v>33</v>
      </c>
      <c r="B48" s="161" t="s">
        <v>34</v>
      </c>
      <c r="C48" s="161">
        <f>Table11[number]*'2Length'!E14*3.5*B23</f>
        <v>787.5</v>
      </c>
      <c r="D48" s="161">
        <v>0.8</v>
      </c>
      <c r="E48" s="168"/>
      <c r="F48" s="168">
        <f>C48*D48</f>
        <v>630</v>
      </c>
    </row>
    <row r="49" spans="1:6" ht="59.25" customHeight="1" x14ac:dyDescent="0.25">
      <c r="A49" s="170" t="s">
        <v>35</v>
      </c>
      <c r="B49" s="161" t="s">
        <v>34</v>
      </c>
      <c r="C49" s="161">
        <f>C51*(4+(Table11[number]-1)*2)</f>
        <v>8928</v>
      </c>
      <c r="D49" s="161">
        <v>0.8</v>
      </c>
      <c r="E49" s="168"/>
      <c r="F49" s="168">
        <f t="shared" ref="F49:F53" si="1">C49*D49</f>
        <v>7142.4000000000005</v>
      </c>
    </row>
    <row r="50" spans="1:6" ht="45.75" customHeight="1" x14ac:dyDescent="0.25">
      <c r="A50" s="170" t="s">
        <v>36</v>
      </c>
      <c r="B50" s="161" t="s">
        <v>34</v>
      </c>
      <c r="C50" s="161">
        <f>5*2*D35</f>
        <v>310</v>
      </c>
      <c r="D50" s="161">
        <v>0.8</v>
      </c>
      <c r="E50" s="168"/>
      <c r="F50" s="168">
        <f t="shared" si="1"/>
        <v>248</v>
      </c>
    </row>
    <row r="51" spans="1:6" ht="46.5" customHeight="1" x14ac:dyDescent="0.25">
      <c r="A51" s="170" t="s">
        <v>37</v>
      </c>
      <c r="B51" s="161" t="s">
        <v>38</v>
      </c>
      <c r="C51" s="161">
        <f>D35*Table11[number]*Table9[L (m1)]*4</f>
        <v>1116</v>
      </c>
      <c r="D51" s="161">
        <v>10</v>
      </c>
      <c r="E51" s="168"/>
      <c r="F51" s="168">
        <f t="shared" si="1"/>
        <v>11160</v>
      </c>
    </row>
    <row r="52" spans="1:6" ht="30" customHeight="1" x14ac:dyDescent="0.25">
      <c r="A52" s="171" t="s">
        <v>39</v>
      </c>
      <c r="B52" s="172"/>
      <c r="C52" s="172"/>
      <c r="D52" s="172"/>
      <c r="E52" s="168"/>
      <c r="F52" s="168">
        <f>'1Surface'!E16*3</f>
        <v>900</v>
      </c>
    </row>
    <row r="53" spans="1:6" ht="32.25" customHeight="1" x14ac:dyDescent="0.25">
      <c r="A53" s="173" t="s">
        <v>77</v>
      </c>
      <c r="B53" s="172" t="s">
        <v>40</v>
      </c>
      <c r="C53" s="172">
        <f>'1Surface'!E16*B21</f>
        <v>300</v>
      </c>
      <c r="D53" s="172"/>
      <c r="E53" s="174"/>
      <c r="F53" s="174">
        <f t="shared" si="1"/>
        <v>0</v>
      </c>
    </row>
    <row r="54" spans="1:6" ht="32.25" customHeight="1" x14ac:dyDescent="0.25">
      <c r="A54" s="173" t="s">
        <v>78</v>
      </c>
      <c r="B54" s="172" t="s">
        <v>40</v>
      </c>
      <c r="C54" s="172">
        <f>'1Surface'!E13*B22</f>
        <v>0</v>
      </c>
      <c r="D54" s="172"/>
      <c r="E54" s="174"/>
      <c r="F54" s="174"/>
    </row>
    <row r="55" spans="1:6" ht="36" customHeight="1" x14ac:dyDescent="0.25">
      <c r="A55" s="167" t="s">
        <v>41</v>
      </c>
      <c r="B55" s="161" t="s">
        <v>38</v>
      </c>
      <c r="C55" s="161"/>
      <c r="D55" s="161"/>
      <c r="E55" s="168"/>
      <c r="F55" s="168"/>
    </row>
    <row r="56" spans="1:6" ht="42" customHeight="1" x14ac:dyDescent="0.25">
      <c r="A56" s="167" t="s">
        <v>42</v>
      </c>
      <c r="B56" s="161" t="s">
        <v>40</v>
      </c>
      <c r="C56" s="161"/>
      <c r="D56" s="161"/>
      <c r="E56" s="168"/>
      <c r="F56" s="168"/>
    </row>
    <row r="57" spans="1:6" ht="33.75" customHeight="1" x14ac:dyDescent="0.25">
      <c r="A57" s="167" t="s">
        <v>43</v>
      </c>
      <c r="B57" s="161" t="s">
        <v>44</v>
      </c>
      <c r="C57" s="161"/>
      <c r="D57" s="161"/>
      <c r="E57" s="168"/>
      <c r="F57" s="168"/>
    </row>
    <row r="58" spans="1:6" ht="24" customHeight="1" x14ac:dyDescent="0.25">
      <c r="A58" s="167" t="s">
        <v>45</v>
      </c>
      <c r="B58" s="161" t="s">
        <v>34</v>
      </c>
      <c r="C58" s="161">
        <f>SUM(C48:C50)</f>
        <v>10025.5</v>
      </c>
      <c r="D58" s="161">
        <v>2</v>
      </c>
      <c r="E58" s="168"/>
      <c r="F58" s="168">
        <f>C58*D58</f>
        <v>20051</v>
      </c>
    </row>
    <row r="59" spans="1:6" ht="31.5" customHeight="1" x14ac:dyDescent="0.25">
      <c r="A59" s="167" t="s">
        <v>46</v>
      </c>
      <c r="B59" s="161" t="s">
        <v>38</v>
      </c>
      <c r="C59" s="161">
        <f>C51</f>
        <v>1116</v>
      </c>
      <c r="D59" s="161">
        <v>11</v>
      </c>
      <c r="E59" s="168"/>
      <c r="F59" s="168">
        <f t="shared" ref="F59" si="2">C59*D59</f>
        <v>12276</v>
      </c>
    </row>
    <row r="60" spans="1:6" ht="31.5" customHeight="1" x14ac:dyDescent="0.25">
      <c r="A60" s="167" t="s">
        <v>79</v>
      </c>
      <c r="B60" s="161"/>
      <c r="C60" s="161"/>
      <c r="D60" s="161"/>
      <c r="E60" s="168"/>
      <c r="F60" s="168"/>
    </row>
    <row r="61" spans="1:6" ht="31.5" customHeight="1" x14ac:dyDescent="0.25">
      <c r="A61" s="167" t="s">
        <v>80</v>
      </c>
      <c r="B61" s="161"/>
      <c r="C61" s="161"/>
      <c r="D61" s="161"/>
      <c r="E61" s="168"/>
      <c r="F61" s="168"/>
    </row>
    <row r="62" spans="1:6" ht="27.75" customHeight="1" thickBot="1" x14ac:dyDescent="0.3">
      <c r="A62" s="175" t="s">
        <v>47</v>
      </c>
      <c r="B62" s="176"/>
      <c r="C62" s="176"/>
      <c r="D62" s="176"/>
      <c r="E62" s="177">
        <f>SUM(E42:E47)</f>
        <v>50737.5</v>
      </c>
      <c r="F62" s="178">
        <f>SUM(F48:F59)</f>
        <v>52407.4</v>
      </c>
    </row>
    <row r="63" spans="1:6" x14ac:dyDescent="0.25">
      <c r="A63" s="179" t="s">
        <v>48</v>
      </c>
      <c r="E63" s="180">
        <f>E62/'1Surface'!E16</f>
        <v>169.125</v>
      </c>
      <c r="F63" s="180">
        <f>F62/'1Surface'!E16</f>
        <v>174.69133333333335</v>
      </c>
    </row>
    <row r="65" spans="1:4" x14ac:dyDescent="0.25">
      <c r="A65" s="161" t="s">
        <v>81</v>
      </c>
      <c r="B65" s="161" t="s">
        <v>85</v>
      </c>
      <c r="C65" s="197">
        <f>'6Offer'!C11*0.3</f>
        <v>15221.25</v>
      </c>
      <c r="D65" s="161"/>
    </row>
    <row r="66" spans="1:4" ht="45" x14ac:dyDescent="0.25">
      <c r="A66" s="167" t="s">
        <v>82</v>
      </c>
      <c r="B66" s="161" t="s">
        <v>85</v>
      </c>
      <c r="C66" s="197">
        <f>'6Offer'!C11*0.6</f>
        <v>30442.5</v>
      </c>
      <c r="D66" s="161"/>
    </row>
    <row r="67" spans="1:4" ht="45" x14ac:dyDescent="0.25">
      <c r="A67" s="167" t="s">
        <v>83</v>
      </c>
      <c r="B67" s="161" t="s">
        <v>85</v>
      </c>
      <c r="C67" s="197">
        <f>'6Offer'!C11*0.05</f>
        <v>2536.875</v>
      </c>
      <c r="D67" s="161"/>
    </row>
    <row r="68" spans="1:4" ht="45" x14ac:dyDescent="0.25">
      <c r="A68" s="167" t="s">
        <v>84</v>
      </c>
      <c r="B68" s="161" t="s">
        <v>85</v>
      </c>
      <c r="C68" s="197">
        <f>'6Offer'!C11*0.05</f>
        <v>2536.875</v>
      </c>
      <c r="D68" s="161"/>
    </row>
    <row r="69" spans="1:4" x14ac:dyDescent="0.25">
      <c r="A69" s="162" t="s">
        <v>86</v>
      </c>
      <c r="B69" s="162" t="s">
        <v>85</v>
      </c>
      <c r="C69" s="197">
        <f>SUM(C65:C68)</f>
        <v>50737.5</v>
      </c>
    </row>
    <row r="70" spans="1:4" x14ac:dyDescent="0.25">
      <c r="A70" s="161" t="s">
        <v>87</v>
      </c>
    </row>
    <row r="72" spans="1:4" x14ac:dyDescent="0.25">
      <c r="A72" s="162" t="s">
        <v>88</v>
      </c>
    </row>
    <row r="73" spans="1:4" ht="90" x14ac:dyDescent="0.25">
      <c r="A73" s="167" t="s">
        <v>89</v>
      </c>
    </row>
    <row r="74" spans="1:4" ht="30" x14ac:dyDescent="0.25">
      <c r="A74" s="167" t="s">
        <v>96</v>
      </c>
    </row>
    <row r="76" spans="1:4" ht="30" x14ac:dyDescent="0.25">
      <c r="A76" s="167" t="s">
        <v>95</v>
      </c>
    </row>
    <row r="78" spans="1:4" ht="34.5" x14ac:dyDescent="0.25">
      <c r="A78" s="198" t="s">
        <v>97</v>
      </c>
    </row>
    <row r="79" spans="1:4" ht="15.75" x14ac:dyDescent="0.25">
      <c r="A79" s="199"/>
    </row>
    <row r="80" spans="1:4" ht="15.75" x14ac:dyDescent="0.25">
      <c r="A80" s="199" t="s">
        <v>109</v>
      </c>
    </row>
    <row r="81" spans="1:1" ht="15.75" x14ac:dyDescent="0.25">
      <c r="A81" s="199"/>
    </row>
    <row r="82" spans="1:1" ht="15.75" x14ac:dyDescent="0.25">
      <c r="A82" s="199" t="s">
        <v>98</v>
      </c>
    </row>
    <row r="83" spans="1:1" ht="15.75" x14ac:dyDescent="0.25">
      <c r="A83" s="199" t="s">
        <v>99</v>
      </c>
    </row>
    <row r="84" spans="1:1" ht="15.75" x14ac:dyDescent="0.25">
      <c r="A84" s="199" t="s">
        <v>100</v>
      </c>
    </row>
    <row r="85" spans="1:1" ht="15.75" x14ac:dyDescent="0.25">
      <c r="A85" s="200" t="s">
        <v>255</v>
      </c>
    </row>
    <row r="86" spans="1:1" ht="15.75" x14ac:dyDescent="0.25">
      <c r="A86" s="200" t="s">
        <v>256</v>
      </c>
    </row>
    <row r="87" spans="1:1" ht="15.75" x14ac:dyDescent="0.25">
      <c r="A87" s="200" t="s">
        <v>257</v>
      </c>
    </row>
    <row r="88" spans="1:1" ht="15.75" x14ac:dyDescent="0.25">
      <c r="A88" s="200" t="s">
        <v>258</v>
      </c>
    </row>
    <row r="89" spans="1:1" ht="15.75" x14ac:dyDescent="0.25">
      <c r="A89" s="200" t="s">
        <v>259</v>
      </c>
    </row>
    <row r="90" spans="1:1" ht="15.75" x14ac:dyDescent="0.25">
      <c r="A90" s="201"/>
    </row>
    <row r="91" spans="1:1" ht="15.75" x14ac:dyDescent="0.25">
      <c r="A91" s="199" t="s">
        <v>101</v>
      </c>
    </row>
    <row r="92" spans="1:1" ht="15.75" x14ac:dyDescent="0.25">
      <c r="A92" s="200" t="s">
        <v>260</v>
      </c>
    </row>
    <row r="93" spans="1:1" ht="15.75" x14ac:dyDescent="0.25">
      <c r="A93" s="200" t="s">
        <v>261</v>
      </c>
    </row>
    <row r="94" spans="1:1" ht="15.75" x14ac:dyDescent="0.25">
      <c r="A94" s="200" t="s">
        <v>262</v>
      </c>
    </row>
    <row r="95" spans="1:1" ht="15.75" x14ac:dyDescent="0.25">
      <c r="A95" s="201"/>
    </row>
    <row r="96" spans="1:1" ht="15.75" x14ac:dyDescent="0.25">
      <c r="A96" s="199" t="s">
        <v>102</v>
      </c>
    </row>
    <row r="97" spans="1:8" ht="15.75" x14ac:dyDescent="0.25">
      <c r="A97" s="200" t="s">
        <v>263</v>
      </c>
    </row>
    <row r="98" spans="1:8" ht="15.75" x14ac:dyDescent="0.25">
      <c r="A98" s="200" t="s">
        <v>264</v>
      </c>
    </row>
    <row r="99" spans="1:8" ht="15.75" x14ac:dyDescent="0.25">
      <c r="A99" s="200" t="s">
        <v>265</v>
      </c>
    </row>
    <row r="100" spans="1:8" ht="15.75" x14ac:dyDescent="0.25">
      <c r="A100" s="201"/>
    </row>
    <row r="101" spans="1:8" ht="15.75" x14ac:dyDescent="0.25">
      <c r="A101" s="199" t="s">
        <v>103</v>
      </c>
    </row>
    <row r="102" spans="1:8" ht="15.75" x14ac:dyDescent="0.25">
      <c r="A102" s="202" t="s">
        <v>104</v>
      </c>
    </row>
    <row r="103" spans="1:8" ht="15.75" x14ac:dyDescent="0.25">
      <c r="A103" s="203" t="s">
        <v>266</v>
      </c>
    </row>
    <row r="104" spans="1:8" ht="15.75" x14ac:dyDescent="0.25">
      <c r="A104" s="203" t="s">
        <v>267</v>
      </c>
    </row>
    <row r="105" spans="1:8" ht="15.75" x14ac:dyDescent="0.25">
      <c r="A105" s="202" t="s">
        <v>105</v>
      </c>
    </row>
    <row r="106" spans="1:8" ht="15.75" x14ac:dyDescent="0.25">
      <c r="A106" s="202" t="s">
        <v>106</v>
      </c>
    </row>
    <row r="107" spans="1:8" ht="15.75" x14ac:dyDescent="0.25">
      <c r="A107" s="202" t="s">
        <v>107</v>
      </c>
    </row>
    <row r="108" spans="1:8" ht="15.75" x14ac:dyDescent="0.25">
      <c r="A108" s="202" t="s">
        <v>108</v>
      </c>
    </row>
    <row r="110" spans="1:8" x14ac:dyDescent="0.25">
      <c r="A110" s="181"/>
    </row>
    <row r="111" spans="1:8" ht="15.75" x14ac:dyDescent="0.25">
      <c r="A111" s="204" t="s">
        <v>112</v>
      </c>
    </row>
    <row r="112" spans="1:8" ht="15.75" x14ac:dyDescent="0.25">
      <c r="A112" s="205" t="s">
        <v>115</v>
      </c>
      <c r="B112" s="182"/>
      <c r="C112" s="181"/>
      <c r="D112" s="181"/>
      <c r="E112" s="181"/>
      <c r="F112" s="181"/>
      <c r="G112" s="181"/>
      <c r="H112" s="181"/>
    </row>
    <row r="113" spans="1:8" ht="15.75" x14ac:dyDescent="0.25">
      <c r="A113" s="205" t="s">
        <v>116</v>
      </c>
      <c r="B113" s="182"/>
      <c r="C113" s="181"/>
      <c r="D113" s="181"/>
      <c r="E113" s="181"/>
      <c r="F113" s="181"/>
      <c r="G113" s="181"/>
      <c r="H113" s="181"/>
    </row>
    <row r="114" spans="1:8" ht="15.75" x14ac:dyDescent="0.25">
      <c r="A114" s="205" t="s">
        <v>113</v>
      </c>
      <c r="B114" s="182"/>
      <c r="C114" s="181"/>
      <c r="D114" s="181"/>
      <c r="E114" s="181"/>
      <c r="F114" s="181"/>
      <c r="G114" s="181"/>
      <c r="H114" s="181"/>
    </row>
    <row r="115" spans="1:8" ht="15.75" x14ac:dyDescent="0.25">
      <c r="A115" s="205" t="s">
        <v>114</v>
      </c>
      <c r="B115" s="182"/>
      <c r="C115" s="181"/>
      <c r="D115" s="181"/>
      <c r="E115" s="181"/>
      <c r="F115" s="181"/>
      <c r="G115" s="181"/>
      <c r="H115" s="181"/>
    </row>
    <row r="116" spans="1:8" ht="15.75" x14ac:dyDescent="0.25">
      <c r="A116" s="205" t="s">
        <v>110</v>
      </c>
      <c r="B116" s="182"/>
      <c r="C116" s="181"/>
      <c r="D116" s="181"/>
      <c r="E116" s="181"/>
      <c r="F116" s="181"/>
      <c r="G116" s="181"/>
      <c r="H116" s="181"/>
    </row>
    <row r="117" spans="1:8" ht="15.75" x14ac:dyDescent="0.25">
      <c r="A117" s="205" t="s">
        <v>111</v>
      </c>
      <c r="B117" s="182"/>
      <c r="C117" s="181"/>
      <c r="D117" s="181"/>
      <c r="E117" s="181"/>
      <c r="F117" s="181"/>
      <c r="G117" s="181"/>
      <c r="H117" s="181"/>
    </row>
    <row r="118" spans="1:8" ht="15.75" x14ac:dyDescent="0.25">
      <c r="A118" s="205"/>
      <c r="B118" s="182"/>
      <c r="C118" s="181"/>
      <c r="D118" s="181"/>
      <c r="E118" s="181"/>
      <c r="F118" s="181"/>
      <c r="G118" s="181"/>
      <c r="H118" s="181"/>
    </row>
    <row r="119" spans="1:8" ht="15.75" x14ac:dyDescent="0.25">
      <c r="A119" s="204" t="s">
        <v>117</v>
      </c>
    </row>
    <row r="120" spans="1:8" ht="15.75" x14ac:dyDescent="0.25">
      <c r="A120" s="205" t="s">
        <v>118</v>
      </c>
    </row>
    <row r="121" spans="1:8" ht="15.75" x14ac:dyDescent="0.25">
      <c r="A121" s="206" t="s">
        <v>119</v>
      </c>
    </row>
    <row r="122" spans="1:8" ht="15.75" x14ac:dyDescent="0.25">
      <c r="A122" s="206" t="s">
        <v>120</v>
      </c>
    </row>
    <row r="123" spans="1:8" ht="15.75" x14ac:dyDescent="0.25">
      <c r="A123" s="206" t="s">
        <v>121</v>
      </c>
    </row>
    <row r="124" spans="1:8" ht="15.75" x14ac:dyDescent="0.25">
      <c r="A124" s="206" t="s">
        <v>122</v>
      </c>
    </row>
    <row r="125" spans="1:8" ht="15.75" x14ac:dyDescent="0.25">
      <c r="A125" s="206" t="s">
        <v>123</v>
      </c>
    </row>
    <row r="126" spans="1:8" ht="15.75" x14ac:dyDescent="0.25">
      <c r="A126" s="206" t="s">
        <v>124</v>
      </c>
    </row>
    <row r="127" spans="1:8" ht="15.75" x14ac:dyDescent="0.25">
      <c r="A127" s="206" t="s">
        <v>125</v>
      </c>
    </row>
    <row r="128" spans="1:8" ht="15.75" x14ac:dyDescent="0.25">
      <c r="A128" s="206" t="s">
        <v>126</v>
      </c>
    </row>
    <row r="129" spans="1:5" ht="15.75" x14ac:dyDescent="0.25">
      <c r="A129" s="206" t="s">
        <v>127</v>
      </c>
    </row>
    <row r="130" spans="1:5" ht="15.75" x14ac:dyDescent="0.25">
      <c r="A130" s="206" t="s">
        <v>128</v>
      </c>
    </row>
    <row r="132" spans="1:5" ht="15.75" x14ac:dyDescent="0.25">
      <c r="A132" s="199" t="s">
        <v>99</v>
      </c>
    </row>
    <row r="133" spans="1:5" ht="15.75" x14ac:dyDescent="0.25">
      <c r="A133" s="183" t="s">
        <v>149</v>
      </c>
      <c r="B133" s="183"/>
      <c r="C133" s="183"/>
    </row>
    <row r="134" spans="1:5" ht="15.75" x14ac:dyDescent="0.25">
      <c r="A134" s="183" t="s">
        <v>150</v>
      </c>
      <c r="B134" s="183"/>
      <c r="C134" s="183"/>
    </row>
    <row r="135" spans="1:5" ht="15.75" x14ac:dyDescent="0.25">
      <c r="A135" s="183" t="s">
        <v>151</v>
      </c>
      <c r="B135" s="183"/>
      <c r="C135" s="183"/>
    </row>
    <row r="136" spans="1:5" ht="15.75" x14ac:dyDescent="0.25">
      <c r="A136" s="184"/>
      <c r="B136" s="184"/>
      <c r="C136" s="184"/>
    </row>
    <row r="137" spans="1:5" ht="15.75" x14ac:dyDescent="0.25">
      <c r="A137" s="199" t="s">
        <v>100</v>
      </c>
    </row>
    <row r="138" spans="1:5" ht="15.75" x14ac:dyDescent="0.25">
      <c r="A138" s="200" t="s">
        <v>255</v>
      </c>
    </row>
    <row r="139" spans="1:5" ht="15.75" x14ac:dyDescent="0.25">
      <c r="A139" s="200" t="s">
        <v>256</v>
      </c>
    </row>
    <row r="140" spans="1:5" ht="15.75" x14ac:dyDescent="0.25">
      <c r="A140" s="200" t="s">
        <v>257</v>
      </c>
    </row>
    <row r="141" spans="1:5" ht="15.75" x14ac:dyDescent="0.25">
      <c r="A141" s="200" t="s">
        <v>258</v>
      </c>
    </row>
    <row r="142" spans="1:5" ht="15.75" x14ac:dyDescent="0.25">
      <c r="A142" s="200" t="s">
        <v>259</v>
      </c>
    </row>
    <row r="143" spans="1:5" ht="15.75" thickBot="1" x14ac:dyDescent="0.3"/>
    <row r="144" spans="1:5" ht="16.5" thickBot="1" x14ac:dyDescent="0.3">
      <c r="A144" s="185" t="s">
        <v>129</v>
      </c>
      <c r="B144" s="186" t="s">
        <v>139</v>
      </c>
      <c r="C144" s="186" t="s">
        <v>140</v>
      </c>
      <c r="D144" s="186" t="s">
        <v>141</v>
      </c>
      <c r="E144" s="187" t="s">
        <v>142</v>
      </c>
    </row>
    <row r="145" spans="1:5" ht="15.75" x14ac:dyDescent="0.25">
      <c r="A145" s="188" t="s">
        <v>131</v>
      </c>
      <c r="B145" s="165"/>
      <c r="C145" s="165"/>
      <c r="D145" s="165"/>
      <c r="E145" s="165"/>
    </row>
    <row r="146" spans="1:5" ht="16.5" thickBot="1" x14ac:dyDescent="0.3">
      <c r="A146" s="189" t="s">
        <v>130</v>
      </c>
      <c r="B146" s="172"/>
      <c r="C146" s="172"/>
      <c r="D146" s="172"/>
      <c r="E146" s="172"/>
    </row>
    <row r="147" spans="1:5" ht="15.75" x14ac:dyDescent="0.25">
      <c r="A147" s="190" t="s">
        <v>147</v>
      </c>
      <c r="B147" s="191"/>
      <c r="C147" s="191"/>
      <c r="D147" s="191"/>
      <c r="E147" s="192"/>
    </row>
    <row r="148" spans="1:5" ht="15.75" x14ac:dyDescent="0.25">
      <c r="A148" s="193" t="s">
        <v>152</v>
      </c>
      <c r="B148" s="161"/>
      <c r="C148" s="161"/>
      <c r="D148" s="161"/>
      <c r="E148" s="161"/>
    </row>
    <row r="149" spans="1:5" ht="16.5" thickBot="1" x14ac:dyDescent="0.3">
      <c r="A149" s="184"/>
    </row>
    <row r="150" spans="1:5" ht="16.5" thickBot="1" x14ac:dyDescent="0.3">
      <c r="A150" s="207" t="s">
        <v>132</v>
      </c>
      <c r="B150" s="186" t="s">
        <v>139</v>
      </c>
      <c r="C150" s="186" t="s">
        <v>140</v>
      </c>
      <c r="D150" s="186" t="s">
        <v>141</v>
      </c>
      <c r="E150" s="187" t="s">
        <v>142</v>
      </c>
    </row>
    <row r="151" spans="1:5" x14ac:dyDescent="0.25">
      <c r="A151" s="165" t="s">
        <v>131</v>
      </c>
      <c r="B151" s="165"/>
      <c r="C151" s="165"/>
      <c r="D151" s="165"/>
      <c r="E151" s="165"/>
    </row>
    <row r="152" spans="1:5" x14ac:dyDescent="0.25">
      <c r="A152" s="161" t="s">
        <v>130</v>
      </c>
      <c r="B152" s="161"/>
      <c r="C152" s="161"/>
      <c r="D152" s="161"/>
      <c r="E152" s="161"/>
    </row>
    <row r="153" spans="1:5" ht="15.75" thickBot="1" x14ac:dyDescent="0.3">
      <c r="A153" s="172" t="s">
        <v>133</v>
      </c>
      <c r="B153" s="172"/>
      <c r="C153" s="172"/>
      <c r="D153" s="172"/>
      <c r="E153" s="172"/>
    </row>
    <row r="154" spans="1:5" x14ac:dyDescent="0.25">
      <c r="A154" s="194" t="s">
        <v>147</v>
      </c>
      <c r="B154" s="191"/>
      <c r="C154" s="191"/>
      <c r="D154" s="191"/>
      <c r="E154" s="192"/>
    </row>
    <row r="155" spans="1:5" x14ac:dyDescent="0.25">
      <c r="A155" s="161" t="s">
        <v>152</v>
      </c>
      <c r="B155" s="161"/>
      <c r="C155" s="161"/>
      <c r="D155" s="161"/>
      <c r="E155" s="161"/>
    </row>
    <row r="156" spans="1:5" ht="15.75" thickBot="1" x14ac:dyDescent="0.3"/>
    <row r="157" spans="1:5" ht="15.75" thickBot="1" x14ac:dyDescent="0.3">
      <c r="A157" s="195" t="s">
        <v>134</v>
      </c>
      <c r="B157" s="186" t="s">
        <v>143</v>
      </c>
      <c r="C157" s="186" t="s">
        <v>144</v>
      </c>
      <c r="D157" s="186" t="s">
        <v>145</v>
      </c>
      <c r="E157" s="187" t="s">
        <v>146</v>
      </c>
    </row>
    <row r="158" spans="1:5" x14ac:dyDescent="0.25">
      <c r="A158" s="165" t="s">
        <v>135</v>
      </c>
      <c r="B158" s="165"/>
      <c r="C158" s="165"/>
      <c r="D158" s="165"/>
      <c r="E158" s="165"/>
    </row>
    <row r="159" spans="1:5" x14ac:dyDescent="0.25">
      <c r="A159" s="161" t="s">
        <v>148</v>
      </c>
      <c r="B159" s="161"/>
      <c r="C159" s="161"/>
      <c r="D159" s="161"/>
      <c r="E159" s="161"/>
    </row>
    <row r="160" spans="1:5" x14ac:dyDescent="0.25">
      <c r="A160" s="161" t="s">
        <v>138</v>
      </c>
      <c r="B160" s="161"/>
      <c r="C160" s="161"/>
      <c r="D160" s="161"/>
      <c r="E160" s="161"/>
    </row>
    <row r="161" spans="1:5" x14ac:dyDescent="0.25">
      <c r="A161" s="161" t="s">
        <v>136</v>
      </c>
      <c r="B161" s="161"/>
      <c r="C161" s="161"/>
      <c r="D161" s="161"/>
      <c r="E161" s="161"/>
    </row>
    <row r="162" spans="1:5" ht="15.75" thickBot="1" x14ac:dyDescent="0.3">
      <c r="A162" s="172" t="s">
        <v>137</v>
      </c>
      <c r="B162" s="172"/>
      <c r="C162" s="172"/>
      <c r="D162" s="172"/>
      <c r="E162" s="172"/>
    </row>
    <row r="163" spans="1:5" x14ac:dyDescent="0.25">
      <c r="A163" s="194" t="s">
        <v>147</v>
      </c>
      <c r="B163" s="191"/>
      <c r="C163" s="191"/>
      <c r="D163" s="191"/>
      <c r="E163" s="192"/>
    </row>
    <row r="164" spans="1:5" x14ac:dyDescent="0.25">
      <c r="A164" s="161" t="s">
        <v>152</v>
      </c>
      <c r="B164" s="161"/>
      <c r="C164" s="161"/>
      <c r="D164" s="161"/>
      <c r="E164" s="161"/>
    </row>
  </sheetData>
  <sheetProtection password="CEEF"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80" zoomScaleNormal="80" workbookViewId="0">
      <pane ySplit="31" topLeftCell="A32" activePane="bottomLeft" state="frozen"/>
      <selection pane="bottomLeft" activeCell="F27" sqref="F27"/>
    </sheetView>
  </sheetViews>
  <sheetFormatPr defaultRowHeight="15" x14ac:dyDescent="0.25"/>
  <cols>
    <col min="1" max="8" width="9.7109375" customWidth="1"/>
    <col min="9" max="9" width="10.85546875" customWidth="1"/>
  </cols>
  <sheetData>
    <row r="1" spans="1:9" ht="15" customHeight="1" x14ac:dyDescent="0.25">
      <c r="A1" s="263" t="s">
        <v>0</v>
      </c>
      <c r="B1" s="263"/>
      <c r="C1" s="263"/>
      <c r="D1" s="263"/>
      <c r="E1" s="263"/>
      <c r="F1" s="263"/>
      <c r="G1" s="263"/>
      <c r="H1" s="263"/>
      <c r="I1" s="263"/>
    </row>
    <row r="2" spans="1:9" x14ac:dyDescent="0.25">
      <c r="A2" s="264" t="s">
        <v>90</v>
      </c>
      <c r="B2" s="264"/>
      <c r="C2" s="264"/>
      <c r="D2" s="264"/>
      <c r="E2" s="264"/>
      <c r="F2" s="264"/>
      <c r="G2" s="264"/>
      <c r="H2" s="264"/>
      <c r="I2" s="264"/>
    </row>
    <row r="3" spans="1:9" x14ac:dyDescent="0.25">
      <c r="A3" s="265" t="s">
        <v>155</v>
      </c>
      <c r="B3" s="265"/>
      <c r="C3" s="265"/>
      <c r="D3" s="265"/>
      <c r="E3" s="265"/>
      <c r="F3" s="265"/>
      <c r="G3" s="265"/>
      <c r="H3" s="265"/>
      <c r="I3" s="265"/>
    </row>
    <row r="4" spans="1:9" x14ac:dyDescent="0.25">
      <c r="A4" s="266" t="s">
        <v>91</v>
      </c>
      <c r="B4" s="266"/>
      <c r="C4" s="266"/>
      <c r="D4" s="266"/>
      <c r="E4" s="266"/>
      <c r="F4" s="266"/>
      <c r="G4" s="266"/>
      <c r="H4" s="266"/>
      <c r="I4" s="266"/>
    </row>
    <row r="5" spans="1:9" ht="18.75" x14ac:dyDescent="0.3">
      <c r="A5" s="89"/>
      <c r="G5" s="260" t="s">
        <v>274</v>
      </c>
      <c r="H5" s="260"/>
      <c r="I5" s="260"/>
    </row>
    <row r="6" spans="1:9" x14ac:dyDescent="0.25">
      <c r="F6" s="147" t="s">
        <v>244</v>
      </c>
      <c r="G6" s="267"/>
      <c r="H6" s="267"/>
    </row>
    <row r="8" spans="1:9" x14ac:dyDescent="0.25">
      <c r="A8" s="261" t="s">
        <v>1</v>
      </c>
      <c r="B8" s="261"/>
      <c r="C8" s="262"/>
      <c r="D8" s="262"/>
      <c r="E8" s="262"/>
      <c r="F8" s="262"/>
      <c r="G8" s="262"/>
      <c r="H8" s="262"/>
    </row>
    <row r="9" spans="1:9" x14ac:dyDescent="0.25">
      <c r="A9" s="261"/>
      <c r="B9" s="261"/>
      <c r="C9" s="262"/>
      <c r="D9" s="262"/>
      <c r="E9" s="262"/>
      <c r="F9" s="262"/>
      <c r="G9" s="262"/>
      <c r="H9" s="262"/>
    </row>
    <row r="10" spans="1:9" ht="4.5" customHeight="1" x14ac:dyDescent="0.25"/>
    <row r="11" spans="1:9" ht="15.75" x14ac:dyDescent="0.25">
      <c r="A11" s="6" t="s">
        <v>2</v>
      </c>
      <c r="B11" s="7"/>
    </row>
    <row r="12" spans="1:9" ht="5.25" customHeight="1" x14ac:dyDescent="0.25"/>
    <row r="13" spans="1:9" ht="13.5" customHeight="1" x14ac:dyDescent="0.25"/>
    <row r="14" spans="1:9" x14ac:dyDescent="0.25">
      <c r="A14" s="1"/>
    </row>
    <row r="20" spans="2:2" ht="9" customHeight="1" x14ac:dyDescent="0.3">
      <c r="B20" s="4"/>
    </row>
    <row r="21" spans="2:2" ht="6" customHeight="1" x14ac:dyDescent="0.25"/>
  </sheetData>
  <sheetProtection password="CE2A" sheet="1" objects="1" scenarios="1"/>
  <mergeCells count="8">
    <mergeCell ref="G5:I5"/>
    <mergeCell ref="A8:B9"/>
    <mergeCell ref="C8:H9"/>
    <mergeCell ref="A1:I1"/>
    <mergeCell ref="A2:I2"/>
    <mergeCell ref="A3:I3"/>
    <mergeCell ref="A4:I4"/>
    <mergeCell ref="G6:H6"/>
  </mergeCells>
  <hyperlinks>
    <hyperlink ref="A4" r:id="rId1" display="Tel:+381 11 852 6655, Fax:+381 11 852 6663"/>
  </hyperlinks>
  <pageMargins left="0.7" right="0.7" top="0.75" bottom="0.75" header="0.3" footer="0.3"/>
  <pageSetup paperSize="9" orientation="portrait" horizontalDpi="300" verticalDpi="300" r:id="rId2"/>
  <drawing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zoomScale="90" zoomScaleNormal="90" workbookViewId="0">
      <pane ySplit="25" topLeftCell="A32" activePane="bottomLeft" state="frozen"/>
      <selection pane="bottomLeft" activeCell="G13" sqref="G13"/>
    </sheetView>
  </sheetViews>
  <sheetFormatPr defaultRowHeight="15" x14ac:dyDescent="0.25"/>
  <cols>
    <col min="1" max="4" width="9.7109375" customWidth="1"/>
    <col min="5" max="5" width="9.85546875" customWidth="1"/>
    <col min="6" max="9" width="9.7109375" customWidth="1"/>
  </cols>
  <sheetData>
    <row r="2" spans="1:9" x14ac:dyDescent="0.25">
      <c r="A2" s="1"/>
    </row>
    <row r="8" spans="1:9" ht="15.75" x14ac:dyDescent="0.3">
      <c r="B8" s="4"/>
    </row>
    <row r="9" spans="1:9" ht="15.75" x14ac:dyDescent="0.3">
      <c r="B9" s="4"/>
    </row>
    <row r="10" spans="1:9" ht="15.75" x14ac:dyDescent="0.3">
      <c r="B10" s="4"/>
    </row>
    <row r="11" spans="1:9" ht="15.75" x14ac:dyDescent="0.3">
      <c r="B11" s="4"/>
    </row>
    <row r="12" spans="1:9" ht="17.25" x14ac:dyDescent="0.25">
      <c r="A12" s="1"/>
      <c r="B12" s="1"/>
      <c r="C12" s="1"/>
      <c r="D12" s="1"/>
      <c r="E12" s="2" t="s">
        <v>3</v>
      </c>
    </row>
    <row r="13" spans="1:9" x14ac:dyDescent="0.25">
      <c r="A13" s="269" t="s">
        <v>5</v>
      </c>
      <c r="B13" s="269"/>
      <c r="C13" s="269"/>
      <c r="D13" s="269"/>
      <c r="E13" s="215">
        <v>100</v>
      </c>
    </row>
    <row r="14" spans="1:9" x14ac:dyDescent="0.25">
      <c r="A14" s="269" t="s">
        <v>6</v>
      </c>
      <c r="B14" s="269"/>
      <c r="C14" s="269"/>
      <c r="D14" s="269"/>
      <c r="E14" s="215">
        <v>100</v>
      </c>
    </row>
    <row r="15" spans="1:9" x14ac:dyDescent="0.25">
      <c r="A15" s="269" t="s">
        <v>7</v>
      </c>
      <c r="B15" s="269"/>
      <c r="C15" s="269"/>
      <c r="D15" s="269"/>
      <c r="E15" s="215">
        <v>100</v>
      </c>
      <c r="G15" s="268" t="s">
        <v>23</v>
      </c>
      <c r="H15" s="268"/>
      <c r="I15" t="s">
        <v>24</v>
      </c>
    </row>
    <row r="16" spans="1:9" x14ac:dyDescent="0.25">
      <c r="A16" s="8"/>
      <c r="B16" s="8"/>
      <c r="C16" s="8"/>
      <c r="D16" s="8"/>
      <c r="E16" s="20">
        <f>E15+E14+E13</f>
        <v>300</v>
      </c>
      <c r="I16" s="218">
        <f>SUM(Sheet2!K5:K7)</f>
        <v>3</v>
      </c>
    </row>
    <row r="17" spans="1:5" x14ac:dyDescent="0.25">
      <c r="A17" s="9"/>
      <c r="B17" s="9"/>
      <c r="C17" s="9"/>
      <c r="D17" s="9"/>
    </row>
    <row r="18" spans="1:5" ht="17.25" x14ac:dyDescent="0.25">
      <c r="A18" s="10"/>
      <c r="B18" s="10"/>
      <c r="C18" s="10"/>
      <c r="D18" s="10"/>
      <c r="E18" s="2" t="s">
        <v>4</v>
      </c>
    </row>
    <row r="19" spans="1:5" x14ac:dyDescent="0.25">
      <c r="A19" s="269" t="s">
        <v>8</v>
      </c>
      <c r="B19" s="269"/>
      <c r="C19" s="269"/>
      <c r="D19" s="269"/>
      <c r="E19" s="215">
        <v>3</v>
      </c>
    </row>
    <row r="22" spans="1:5" x14ac:dyDescent="0.25">
      <c r="B22" s="18"/>
      <c r="C22" s="18"/>
      <c r="D22" s="18"/>
    </row>
  </sheetData>
  <sheetProtection password="CE28" sheet="1" objects="1" scenarios="1"/>
  <mergeCells count="5">
    <mergeCell ref="G15:H15"/>
    <mergeCell ref="A13:D13"/>
    <mergeCell ref="A14:D14"/>
    <mergeCell ref="A15:D15"/>
    <mergeCell ref="A19:D19"/>
  </mergeCells>
  <pageMargins left="0.7" right="0.7" top="0.75" bottom="0.75" header="0.3" footer="0.3"/>
  <pageSetup paperSize="9" orientation="portrait" horizontalDpi="300" verticalDpi="300" r:id="rId1"/>
  <drawing r:id="rId2"/>
  <picture r:id="rId3"/>
  <tableParts count="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80" zoomScaleNormal="80" workbookViewId="0">
      <pane ySplit="28" topLeftCell="A38" activePane="bottomLeft" state="frozen"/>
      <selection pane="bottomLeft" activeCell="A29" sqref="A29:XFD29"/>
    </sheetView>
  </sheetViews>
  <sheetFormatPr defaultRowHeight="15" x14ac:dyDescent="0.25"/>
  <cols>
    <col min="1" max="9" width="9.7109375" customWidth="1"/>
  </cols>
  <sheetData>
    <row r="1" spans="1:6" x14ac:dyDescent="0.25">
      <c r="A1" s="11"/>
    </row>
    <row r="2" spans="1:6" x14ac:dyDescent="0.25">
      <c r="A2" s="1"/>
    </row>
    <row r="12" spans="1:6" ht="15.75" x14ac:dyDescent="0.3">
      <c r="B12" s="4"/>
    </row>
    <row r="13" spans="1:6" ht="17.25" x14ac:dyDescent="0.25">
      <c r="E13" s="2" t="s">
        <v>13</v>
      </c>
      <c r="F13" s="2"/>
    </row>
    <row r="14" spans="1:6" x14ac:dyDescent="0.25">
      <c r="A14" s="269" t="s">
        <v>12</v>
      </c>
      <c r="B14" s="269"/>
      <c r="C14" s="269"/>
      <c r="D14" s="269"/>
      <c r="E14" s="215">
        <v>75</v>
      </c>
      <c r="F14" s="95"/>
    </row>
    <row r="15" spans="1:6" ht="15.75" x14ac:dyDescent="0.25">
      <c r="A15" s="269" t="s">
        <v>11</v>
      </c>
      <c r="B15" s="269"/>
      <c r="C15" s="269"/>
      <c r="D15" s="269"/>
      <c r="E15" s="215">
        <v>0.4</v>
      </c>
      <c r="F15" s="68" t="s">
        <v>245</v>
      </c>
    </row>
    <row r="16" spans="1:6" x14ac:dyDescent="0.25">
      <c r="A16" s="269" t="s">
        <v>9</v>
      </c>
      <c r="B16" s="269"/>
      <c r="C16" s="269"/>
      <c r="D16" s="269"/>
      <c r="E16" s="215">
        <v>75</v>
      </c>
      <c r="F16" s="95"/>
    </row>
    <row r="17" spans="1:6" ht="15.75" x14ac:dyDescent="0.25">
      <c r="A17" s="269" t="s">
        <v>10</v>
      </c>
      <c r="B17" s="269"/>
      <c r="C17" s="269"/>
      <c r="D17" s="269"/>
      <c r="E17" s="215">
        <v>0.3</v>
      </c>
      <c r="F17" s="69" t="s">
        <v>246</v>
      </c>
    </row>
    <row r="18" spans="1:6" x14ac:dyDescent="0.25">
      <c r="A18" s="1"/>
      <c r="B18" s="1"/>
      <c r="C18" s="1"/>
      <c r="D18" s="1"/>
    </row>
  </sheetData>
  <sheetProtection password="CE2E" sheet="1" objects="1" scenarios="1"/>
  <mergeCells count="4">
    <mergeCell ref="A14:D14"/>
    <mergeCell ref="A15:D15"/>
    <mergeCell ref="A16:D16"/>
    <mergeCell ref="A17:D17"/>
  </mergeCells>
  <pageMargins left="0.7" right="0.7" top="0.75" bottom="0.75" header="0.3" footer="0.3"/>
  <pageSetup paperSize="9" orientation="portrait" horizontalDpi="300" verticalDpi="300" r:id="rId1"/>
  <drawing r:id="rId2"/>
  <picture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zoomScale="80" zoomScaleNormal="80" workbookViewId="0">
      <pane ySplit="28" topLeftCell="A35" activePane="bottomLeft" state="frozen"/>
      <selection pane="bottomLeft"/>
    </sheetView>
  </sheetViews>
  <sheetFormatPr defaultRowHeight="15" x14ac:dyDescent="0.25"/>
  <cols>
    <col min="1" max="9" width="9.7109375" customWidth="1"/>
  </cols>
  <sheetData>
    <row r="2" spans="1:7" x14ac:dyDescent="0.25">
      <c r="A2" s="1"/>
    </row>
    <row r="12" spans="1:7" ht="15.75" x14ac:dyDescent="0.3">
      <c r="B12" s="4"/>
    </row>
    <row r="13" spans="1:7" ht="15.75" x14ac:dyDescent="0.25">
      <c r="A13" s="270" t="s">
        <v>14</v>
      </c>
      <c r="B13" s="270"/>
    </row>
    <row r="15" spans="1:7" x14ac:dyDescent="0.25">
      <c r="C15" s="3" t="s">
        <v>15</v>
      </c>
      <c r="E15" t="s">
        <v>16</v>
      </c>
      <c r="F15" s="12" t="s">
        <v>17</v>
      </c>
      <c r="G15" t="s">
        <v>18</v>
      </c>
    </row>
    <row r="16" spans="1:7" x14ac:dyDescent="0.25">
      <c r="C16" s="216">
        <v>1</v>
      </c>
      <c r="E16" s="217">
        <v>1</v>
      </c>
      <c r="F16" s="217">
        <v>0</v>
      </c>
      <c r="G16" s="217">
        <v>0</v>
      </c>
    </row>
    <row r="18" spans="1:1" x14ac:dyDescent="0.25">
      <c r="A18" s="1"/>
    </row>
    <row r="19" spans="1:1" x14ac:dyDescent="0.25">
      <c r="A19" s="1"/>
    </row>
    <row r="20" spans="1:1" x14ac:dyDescent="0.25">
      <c r="A20" s="1"/>
    </row>
    <row r="21" spans="1:1" x14ac:dyDescent="0.25">
      <c r="A21" s="1"/>
    </row>
    <row r="22" spans="1:1" x14ac:dyDescent="0.25">
      <c r="A22" s="1"/>
    </row>
  </sheetData>
  <sheetProtection password="CE2C" sheet="1" objects="1" scenarios="1"/>
  <mergeCells count="1">
    <mergeCell ref="A13:B13"/>
  </mergeCells>
  <pageMargins left="0.7" right="0.7" top="0.75" bottom="0.75" header="0.3" footer="0.3"/>
  <pageSetup paperSize="9" orientation="portrait" horizontalDpi="300" verticalDpi="300" r:id="rId1"/>
  <drawing r:id="rId2"/>
  <picture r:id="rId3"/>
  <tableParts count="2">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1"/>
  <sheetViews>
    <sheetView zoomScaleNormal="100" workbookViewId="0">
      <pane ySplit="22" topLeftCell="A35" activePane="bottomLeft" state="frozen"/>
      <selection pane="bottomLeft" activeCell="I18" sqref="I18"/>
    </sheetView>
  </sheetViews>
  <sheetFormatPr defaultRowHeight="15" x14ac:dyDescent="0.25"/>
  <cols>
    <col min="1" max="9" width="9.7109375" customWidth="1"/>
  </cols>
  <sheetData>
    <row r="2" spans="1:7" x14ac:dyDescent="0.25">
      <c r="A2" s="1"/>
    </row>
    <row r="8" spans="1:7" ht="15.75" x14ac:dyDescent="0.3">
      <c r="B8" s="4"/>
    </row>
    <row r="9" spans="1:7" ht="15.75" x14ac:dyDescent="0.3">
      <c r="B9" s="4"/>
    </row>
    <row r="10" spans="1:7" ht="15.75" x14ac:dyDescent="0.3">
      <c r="B10" s="4"/>
    </row>
    <row r="11" spans="1:7" ht="15.75" x14ac:dyDescent="0.25">
      <c r="A11" s="270" t="s">
        <v>14</v>
      </c>
      <c r="B11" s="270"/>
    </row>
    <row r="13" spans="1:7" ht="58.5" customHeight="1" x14ac:dyDescent="0.25">
      <c r="C13" s="13" t="s">
        <v>19</v>
      </c>
      <c r="E13" s="13" t="s">
        <v>21</v>
      </c>
      <c r="F13" s="13" t="s">
        <v>22</v>
      </c>
      <c r="G13" s="13" t="s">
        <v>20</v>
      </c>
    </row>
    <row r="14" spans="1:7" x14ac:dyDescent="0.25">
      <c r="C14" s="216">
        <v>1</v>
      </c>
      <c r="E14" s="217">
        <v>1</v>
      </c>
      <c r="F14" s="217">
        <v>0</v>
      </c>
      <c r="G14" s="217">
        <v>0</v>
      </c>
    </row>
    <row r="16" spans="1:7" x14ac:dyDescent="0.25">
      <c r="A16" s="1"/>
      <c r="B16" s="1"/>
    </row>
    <row r="17" spans="1:2" x14ac:dyDescent="0.25">
      <c r="A17" s="1"/>
      <c r="B17" s="1"/>
    </row>
    <row r="18" spans="1:2" x14ac:dyDescent="0.25">
      <c r="A18" s="1"/>
      <c r="B18" s="1"/>
    </row>
    <row r="19" spans="1:2" x14ac:dyDescent="0.25">
      <c r="A19" s="1"/>
      <c r="B19" s="1"/>
    </row>
    <row r="20" spans="1:2" x14ac:dyDescent="0.25">
      <c r="A20" s="1"/>
      <c r="B20" s="1"/>
    </row>
    <row r="21" spans="1:2" x14ac:dyDescent="0.25">
      <c r="A21" s="1"/>
      <c r="B21" s="1"/>
    </row>
  </sheetData>
  <sheetProtection password="CE22" sheet="1" objects="1" scenarios="1"/>
  <mergeCells count="1">
    <mergeCell ref="A11:B11"/>
  </mergeCells>
  <pageMargins left="0.7" right="0.7" top="0.75" bottom="0.75" header="0.3" footer="0.3"/>
  <pageSetup paperSize="9" orientation="portrait" horizontalDpi="300" verticalDpi="300" r:id="rId1"/>
  <drawing r:id="rId2"/>
  <picture r:id="rId3"/>
  <tableParts count="2">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
  <sheetViews>
    <sheetView zoomScaleNormal="100" workbookViewId="0">
      <pane ySplit="25" topLeftCell="A26" activePane="bottomLeft" state="frozen"/>
      <selection pane="bottomLeft" activeCell="H20" sqref="H20"/>
    </sheetView>
  </sheetViews>
  <sheetFormatPr defaultRowHeight="15" x14ac:dyDescent="0.25"/>
  <cols>
    <col min="1" max="9" width="9.7109375" customWidth="1"/>
  </cols>
  <sheetData>
    <row r="2" spans="1:6" x14ac:dyDescent="0.25">
      <c r="A2" s="1"/>
    </row>
    <row r="11" spans="1:6" ht="15.75" x14ac:dyDescent="0.3">
      <c r="B11" s="4"/>
    </row>
    <row r="12" spans="1:6" ht="15.75" x14ac:dyDescent="0.25">
      <c r="A12" s="14" t="s">
        <v>52</v>
      </c>
      <c r="B12" s="14"/>
      <c r="C12" s="14"/>
      <c r="D12" s="14"/>
      <c r="E12" s="14" t="s">
        <v>49</v>
      </c>
      <c r="F12" s="14"/>
    </row>
    <row r="14" spans="1:6" x14ac:dyDescent="0.25">
      <c r="C14" s="2" t="s">
        <v>50</v>
      </c>
    </row>
    <row r="15" spans="1:6" x14ac:dyDescent="0.25">
      <c r="C15" s="215">
        <v>0.4</v>
      </c>
    </row>
    <row r="21" spans="5:5" x14ac:dyDescent="0.25">
      <c r="E21" s="5"/>
    </row>
  </sheetData>
  <sheetProtection password="CE20" sheet="1" objects="1" scenarios="1"/>
  <pageMargins left="0.7" right="0.7" top="0.75" bottom="0.75" header="0.3" footer="0.3"/>
  <pageSetup paperSize="9" orientation="portrait" horizontalDpi="300" verticalDpi="300" r:id="rId1"/>
  <drawing r:id="rId2"/>
  <picture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sheetPr>
  <dimension ref="A1:R26"/>
  <sheetViews>
    <sheetView zoomScale="70" zoomScaleNormal="70" workbookViewId="0">
      <pane ySplit="40" topLeftCell="A110" activePane="bottomLeft" state="frozen"/>
      <selection pane="bottomLeft" activeCell="T16" sqref="T16"/>
    </sheetView>
  </sheetViews>
  <sheetFormatPr defaultRowHeight="15" x14ac:dyDescent="0.25"/>
  <cols>
    <col min="1" max="2" width="9.7109375" customWidth="1"/>
    <col min="3" max="4" width="9.85546875" customWidth="1"/>
    <col min="5" max="5" width="9.7109375" customWidth="1"/>
    <col min="6" max="6" width="8.85546875" customWidth="1"/>
    <col min="7" max="7" width="8.42578125" customWidth="1"/>
    <col min="8" max="8" width="11.7109375" customWidth="1"/>
    <col min="9" max="9" width="8.140625" customWidth="1"/>
  </cols>
  <sheetData>
    <row r="1" spans="1:17" ht="13.5" customHeight="1" x14ac:dyDescent="0.25">
      <c r="L1" s="15" t="s">
        <v>271</v>
      </c>
    </row>
    <row r="2" spans="1:17" ht="10.5" customHeight="1" x14ac:dyDescent="0.25">
      <c r="A2" s="1"/>
      <c r="L2" s="15" t="s">
        <v>272</v>
      </c>
    </row>
    <row r="3" spans="1:17" ht="11.25" customHeight="1" x14ac:dyDescent="0.25">
      <c r="L3" s="15" t="s">
        <v>273</v>
      </c>
    </row>
    <row r="4" spans="1:17" ht="11.25" customHeight="1" x14ac:dyDescent="0.25"/>
    <row r="5" spans="1:17" ht="9.75" customHeight="1" x14ac:dyDescent="0.25">
      <c r="O5" s="58"/>
    </row>
    <row r="6" spans="1:17" ht="6.75" customHeight="1" x14ac:dyDescent="0.25"/>
    <row r="7" spans="1:17" ht="9" customHeight="1" x14ac:dyDescent="0.25"/>
    <row r="8" spans="1:17" ht="3.75" customHeight="1" x14ac:dyDescent="0.25"/>
    <row r="9" spans="1:17" ht="7.5" customHeight="1" x14ac:dyDescent="0.25"/>
    <row r="10" spans="1:17" ht="15" customHeight="1" x14ac:dyDescent="0.3">
      <c r="A10" s="15"/>
      <c r="B10" s="4"/>
      <c r="C10" s="28" t="s">
        <v>53</v>
      </c>
      <c r="D10" s="19" t="s">
        <v>73</v>
      </c>
      <c r="E10" s="21"/>
      <c r="I10" s="29"/>
      <c r="J10" s="273" t="s">
        <v>56</v>
      </c>
      <c r="K10" s="273"/>
      <c r="L10" s="273"/>
      <c r="M10" s="273"/>
      <c r="N10" s="5"/>
      <c r="O10" s="24" t="s">
        <v>32</v>
      </c>
      <c r="P10" s="25" t="s">
        <v>54</v>
      </c>
      <c r="Q10" s="31" t="s">
        <v>57</v>
      </c>
    </row>
    <row r="11" spans="1:17" ht="15" customHeight="1" x14ac:dyDescent="0.25">
      <c r="A11" s="279" t="s">
        <v>47</v>
      </c>
      <c r="B11" s="279"/>
      <c r="C11" s="98">
        <f t="shared" ref="C11" si="0">SUM(H16+H19+H22+Q13+Q17+Q21)</f>
        <v>50737.5</v>
      </c>
      <c r="D11" s="97">
        <f>SUM(Table7[[#This Row],[dampers]]+Table21[[#This Row],[S€]]+'7Bill'!H13+'7Bill'!H14+'7Bill'!H15+'7Bill'!H19+'7Bill'!H21+'7Bill'!H22+Table242613[S€]+Table212324[[#This Row],[S€]]+'7Bill'!Q13+'7Bill'!Q15+Table24[S€]+Table2426[S€]+Table24262[S€])</f>
        <v>102724.9</v>
      </c>
      <c r="E11" s="21"/>
      <c r="F11" s="30"/>
      <c r="G11" s="30"/>
      <c r="H11" s="30"/>
      <c r="I11" s="17"/>
      <c r="J11" s="274" t="s">
        <v>61</v>
      </c>
      <c r="K11" s="274"/>
      <c r="L11" s="274"/>
      <c r="M11" s="274"/>
      <c r="N11" s="274"/>
      <c r="O11" s="35"/>
      <c r="P11" s="35"/>
      <c r="Q11" s="35"/>
    </row>
    <row r="12" spans="1:17" ht="12" customHeight="1" x14ac:dyDescent="0.25">
      <c r="A12" s="32"/>
      <c r="B12" s="33" t="s">
        <v>60</v>
      </c>
      <c r="C12" s="26">
        <f>SUM(C11/'1Surface'!E16)</f>
        <v>169.125</v>
      </c>
      <c r="D12" s="27">
        <f>SUM(D11/'1Surface'!E16)</f>
        <v>342.41633333333334</v>
      </c>
      <c r="E12" s="21"/>
      <c r="F12" s="30"/>
      <c r="G12" s="30"/>
      <c r="H12" s="30"/>
      <c r="I12" s="17"/>
      <c r="J12" s="274"/>
      <c r="K12" s="274"/>
      <c r="L12" s="274"/>
      <c r="M12" s="274"/>
      <c r="N12" s="274"/>
      <c r="O12" s="36"/>
      <c r="P12" s="40"/>
      <c r="Q12" s="40"/>
    </row>
    <row r="13" spans="1:17" ht="12.75" customHeight="1" x14ac:dyDescent="0.25">
      <c r="A13" s="16"/>
      <c r="B13" s="16"/>
      <c r="C13" s="16"/>
      <c r="D13" s="16"/>
      <c r="F13" s="30"/>
      <c r="G13" s="30"/>
      <c r="H13" s="30"/>
      <c r="I13" s="17"/>
      <c r="J13" s="274"/>
      <c r="K13" s="274"/>
      <c r="L13" s="274"/>
      <c r="M13" s="274"/>
      <c r="N13" s="274"/>
      <c r="O13" s="34">
        <f>Sheet2!L39+SUM(Sheet2!C45)</f>
        <v>24</v>
      </c>
      <c r="P13" s="39">
        <f>Sheet2!M39+SUM(Sheet2!D45)</f>
        <v>290</v>
      </c>
      <c r="Q13" s="39">
        <f>Table1821[[#This Row],[pieces]]*Table1821[[#This Row],[€]]</f>
        <v>6960</v>
      </c>
    </row>
    <row r="14" spans="1:17" s="5" customFormat="1" ht="15.75" customHeight="1" x14ac:dyDescent="0.25">
      <c r="A14" s="273" t="s">
        <v>56</v>
      </c>
      <c r="B14" s="273"/>
      <c r="C14" s="273"/>
      <c r="D14" s="273"/>
      <c r="F14" s="24" t="s">
        <v>32</v>
      </c>
      <c r="G14" s="25" t="s">
        <v>54</v>
      </c>
      <c r="H14" s="31" t="s">
        <v>57</v>
      </c>
      <c r="J14" s="274"/>
      <c r="K14" s="274"/>
      <c r="L14" s="274"/>
      <c r="M14" s="274"/>
      <c r="N14" s="274"/>
      <c r="O14" s="37"/>
      <c r="P14" s="41"/>
      <c r="Q14" s="41"/>
    </row>
    <row r="15" spans="1:17" s="22" customFormat="1" ht="15" customHeight="1" x14ac:dyDescent="0.25">
      <c r="A15" s="277" t="s">
        <v>55</v>
      </c>
      <c r="B15" s="277"/>
      <c r="C15" s="277"/>
      <c r="D15" s="277"/>
      <c r="E15" s="277"/>
      <c r="F15" s="35"/>
      <c r="G15" s="35"/>
      <c r="H15" s="35"/>
      <c r="J15" s="274"/>
      <c r="K15" s="274"/>
      <c r="L15" s="274"/>
      <c r="M15" s="274"/>
      <c r="N15" s="274"/>
      <c r="O15" s="35"/>
      <c r="P15" s="42"/>
      <c r="Q15" s="42"/>
    </row>
    <row r="16" spans="1:17" s="5" customFormat="1" ht="15" customHeight="1" x14ac:dyDescent="0.25">
      <c r="A16" s="277"/>
      <c r="B16" s="277"/>
      <c r="C16" s="277"/>
      <c r="D16" s="277"/>
      <c r="E16" s="277"/>
      <c r="F16" s="34">
        <f>Sheet2!C42</f>
        <v>31</v>
      </c>
      <c r="G16" s="39">
        <f>Sheet2!D42</f>
        <v>370</v>
      </c>
      <c r="H16" s="39">
        <f>Table18[[#This Row],[pieces]]*Table18[[#This Row],[€]]</f>
        <v>11470</v>
      </c>
      <c r="J16" s="275" t="s">
        <v>62</v>
      </c>
      <c r="K16" s="275"/>
      <c r="L16" s="275"/>
      <c r="M16" s="275"/>
      <c r="N16" s="275"/>
      <c r="O16" s="38"/>
      <c r="P16" s="43"/>
      <c r="Q16" s="43"/>
    </row>
    <row r="17" spans="1:18" s="5" customFormat="1" ht="15" customHeight="1" x14ac:dyDescent="0.25">
      <c r="A17" s="277"/>
      <c r="B17" s="277"/>
      <c r="C17" s="277"/>
      <c r="D17" s="277"/>
      <c r="E17" s="277"/>
      <c r="F17" s="36"/>
      <c r="G17" s="40"/>
      <c r="H17" s="40"/>
      <c r="J17" s="275"/>
      <c r="K17" s="275"/>
      <c r="L17" s="275"/>
      <c r="M17" s="275"/>
      <c r="N17" s="275"/>
      <c r="O17" s="213">
        <v>0</v>
      </c>
      <c r="P17" s="214">
        <v>0</v>
      </c>
      <c r="Q17" s="84">
        <f>Table1821[[#This Row],[pieces]]*Table1821[[#This Row],[€]]</f>
        <v>0</v>
      </c>
    </row>
    <row r="18" spans="1:18" s="22" customFormat="1" ht="15" customHeight="1" x14ac:dyDescent="0.25">
      <c r="A18" s="278" t="s">
        <v>58</v>
      </c>
      <c r="B18" s="278"/>
      <c r="C18" s="278"/>
      <c r="D18" s="278"/>
      <c r="E18" s="278"/>
      <c r="F18" s="37"/>
      <c r="G18" s="41"/>
      <c r="H18" s="41"/>
      <c r="J18" s="275"/>
      <c r="K18" s="275"/>
      <c r="L18" s="275"/>
      <c r="M18" s="275"/>
      <c r="N18" s="275"/>
      <c r="O18" s="49"/>
      <c r="P18" s="49"/>
      <c r="Q18" s="49"/>
    </row>
    <row r="19" spans="1:18" s="22" customFormat="1" ht="15" customHeight="1" x14ac:dyDescent="0.25">
      <c r="A19" s="278"/>
      <c r="B19" s="278"/>
      <c r="C19" s="278"/>
      <c r="D19" s="278"/>
      <c r="E19" s="278"/>
      <c r="F19" s="47">
        <f>SUM(Sheet2!C43)</f>
        <v>31</v>
      </c>
      <c r="G19" s="48">
        <f>SUM(Sheet2!D43)</f>
        <v>380</v>
      </c>
      <c r="H19" s="48">
        <f>Table18[[#This Row],[pieces]]*Table18[[#This Row],[€]]</f>
        <v>11780</v>
      </c>
      <c r="J19" s="275"/>
      <c r="K19" s="275"/>
      <c r="L19" s="275"/>
      <c r="M19" s="275"/>
      <c r="N19" s="275"/>
      <c r="O19" s="55"/>
      <c r="P19" s="55"/>
      <c r="Q19" s="55"/>
    </row>
    <row r="20" spans="1:18" s="5" customFormat="1" ht="12.75" customHeight="1" x14ac:dyDescent="0.25">
      <c r="A20" s="278"/>
      <c r="B20" s="278"/>
      <c r="C20" s="278"/>
      <c r="D20" s="278"/>
      <c r="E20" s="278"/>
      <c r="F20" s="49"/>
      <c r="G20" s="50"/>
      <c r="H20" s="50"/>
      <c r="J20" s="276" t="s">
        <v>63</v>
      </c>
      <c r="K20" s="276"/>
      <c r="L20" s="276"/>
      <c r="M20" s="276"/>
      <c r="N20" s="276"/>
      <c r="O20" s="51"/>
      <c r="P20" s="52"/>
      <c r="Q20" s="52"/>
    </row>
    <row r="21" spans="1:18" s="5" customFormat="1" ht="15" customHeight="1" x14ac:dyDescent="0.25">
      <c r="A21" s="276" t="s">
        <v>59</v>
      </c>
      <c r="B21" s="276"/>
      <c r="C21" s="276"/>
      <c r="D21" s="276"/>
      <c r="E21" s="276"/>
      <c r="F21" s="51"/>
      <c r="G21" s="52"/>
      <c r="H21" s="52"/>
      <c r="J21" s="276"/>
      <c r="K21" s="276"/>
      <c r="L21" s="276"/>
      <c r="M21" s="276"/>
      <c r="N21" s="276"/>
      <c r="O21" s="56">
        <f>SUM(Sheet2!C47)</f>
        <v>28.125</v>
      </c>
      <c r="P21" s="57">
        <f>SUM(Sheet2!D47)</f>
        <v>300</v>
      </c>
      <c r="Q21" s="54">
        <f>O21*P21</f>
        <v>8437.5</v>
      </c>
    </row>
    <row r="22" spans="1:18" s="5" customFormat="1" ht="15" customHeight="1" x14ac:dyDescent="0.25">
      <c r="A22" s="276"/>
      <c r="B22" s="276"/>
      <c r="C22" s="276"/>
      <c r="D22" s="276"/>
      <c r="E22" s="276"/>
      <c r="F22" s="53">
        <f>SUM(Sheet2!C44)</f>
        <v>31</v>
      </c>
      <c r="G22" s="54">
        <f>SUM(Sheet2!D44)</f>
        <v>390</v>
      </c>
      <c r="H22" s="54">
        <f>Table18[[#This Row],[pieces]]*Table18[[#This Row],[€]]</f>
        <v>12090</v>
      </c>
      <c r="J22" s="276"/>
      <c r="K22" s="276"/>
      <c r="L22" s="276"/>
      <c r="M22" s="276"/>
      <c r="N22" s="276"/>
      <c r="O22" s="44"/>
      <c r="P22" s="44"/>
      <c r="Q22" s="44"/>
    </row>
    <row r="23" spans="1:18" s="5" customFormat="1" ht="15" customHeight="1" x14ac:dyDescent="0.25">
      <c r="A23" s="276"/>
      <c r="B23" s="276"/>
      <c r="C23" s="276"/>
      <c r="D23" s="276"/>
      <c r="E23" s="276"/>
      <c r="F23" s="37"/>
      <c r="G23" s="37"/>
      <c r="H23" s="37"/>
      <c r="J23" s="276"/>
      <c r="K23" s="276"/>
      <c r="L23" s="276"/>
      <c r="M23" s="276"/>
      <c r="N23" s="276"/>
      <c r="O23" s="44"/>
      <c r="P23" s="44"/>
      <c r="Q23" s="87"/>
      <c r="R23" s="86"/>
    </row>
    <row r="24" spans="1:18" ht="15" customHeight="1" x14ac:dyDescent="0.25">
      <c r="A24" s="271" t="s">
        <v>270</v>
      </c>
      <c r="B24" s="272"/>
      <c r="C24" s="272"/>
      <c r="D24" s="272"/>
      <c r="E24" s="272"/>
      <c r="F24" s="272"/>
      <c r="G24" s="272"/>
      <c r="H24" s="272"/>
      <c r="I24" s="272"/>
    </row>
    <row r="25" spans="1:18" ht="24.75" customHeight="1" x14ac:dyDescent="0.25">
      <c r="A25" s="272"/>
      <c r="B25" s="272"/>
      <c r="C25" s="272"/>
      <c r="D25" s="272"/>
      <c r="E25" s="272"/>
      <c r="F25" s="272"/>
      <c r="G25" s="272"/>
      <c r="H25" s="272"/>
      <c r="I25" s="272"/>
    </row>
    <row r="26" spans="1:18" ht="15.75" customHeight="1" x14ac:dyDescent="0.25"/>
  </sheetData>
  <sheetProtection password="CE26" sheet="1" objects="1" scenarios="1"/>
  <mergeCells count="10">
    <mergeCell ref="A24:I25"/>
    <mergeCell ref="J10:M10"/>
    <mergeCell ref="J11:N15"/>
    <mergeCell ref="J16:N19"/>
    <mergeCell ref="J20:N23"/>
    <mergeCell ref="A15:E17"/>
    <mergeCell ref="A18:E20"/>
    <mergeCell ref="A21:E23"/>
    <mergeCell ref="A11:B11"/>
    <mergeCell ref="A14:D14"/>
  </mergeCells>
  <pageMargins left="0.7" right="0.7" top="0.75" bottom="0.75" header="0.3" footer="0.3"/>
  <pageSetup paperSize="9" orientation="portrait" horizontalDpi="300" verticalDpi="300" r:id="rId1"/>
  <drawing r:id="rId2"/>
  <picture r:id="rId3"/>
  <tableParts count="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90" zoomScaleNormal="90" workbookViewId="0">
      <pane ySplit="48" topLeftCell="A88" activePane="bottomLeft" state="frozen"/>
      <selection pane="bottomLeft" activeCell="J20" sqref="J20:M20"/>
    </sheetView>
  </sheetViews>
  <sheetFormatPr defaultRowHeight="15" x14ac:dyDescent="0.25"/>
  <cols>
    <col min="1" max="5" width="9.7109375" customWidth="1"/>
    <col min="6" max="6" width="10" customWidth="1"/>
    <col min="7" max="7" width="7.5703125" customWidth="1"/>
    <col min="8" max="8" width="11.42578125" customWidth="1"/>
    <col min="9" max="14" width="9.7109375" customWidth="1"/>
    <col min="15" max="15" width="10" customWidth="1"/>
    <col min="16" max="16" width="8.7109375" customWidth="1"/>
    <col min="17" max="17" width="11.5703125" customWidth="1"/>
    <col min="18" max="19" width="9.7109375" customWidth="1"/>
  </cols>
  <sheetData>
    <row r="1" spans="1:17" ht="15.75" customHeight="1" x14ac:dyDescent="0.25">
      <c r="A1" s="61"/>
      <c r="L1" s="15" t="s">
        <v>271</v>
      </c>
    </row>
    <row r="2" spans="1:17" x14ac:dyDescent="0.25">
      <c r="A2" s="1"/>
      <c r="L2" s="15" t="s">
        <v>272</v>
      </c>
    </row>
    <row r="3" spans="1:17" x14ac:dyDescent="0.25">
      <c r="L3" s="15" t="s">
        <v>273</v>
      </c>
    </row>
    <row r="5" spans="1:17" ht="10.5" customHeight="1" x14ac:dyDescent="0.25"/>
    <row r="6" spans="1:17" ht="11.25" customHeight="1" x14ac:dyDescent="0.25"/>
    <row r="7" spans="1:17" ht="9.75" customHeight="1" x14ac:dyDescent="0.25"/>
    <row r="8" spans="1:17" ht="7.5" customHeight="1" x14ac:dyDescent="0.3">
      <c r="B8" s="4"/>
    </row>
    <row r="9" spans="1:17" ht="2.25" customHeight="1" x14ac:dyDescent="0.25"/>
    <row r="10" spans="1:17" s="21" customFormat="1" ht="15" customHeight="1" x14ac:dyDescent="0.25">
      <c r="A10" s="273" t="s">
        <v>56</v>
      </c>
      <c r="B10" s="273"/>
      <c r="C10" s="273"/>
      <c r="D10" s="273"/>
      <c r="E10" s="5"/>
      <c r="F10" s="24" t="s">
        <v>34</v>
      </c>
      <c r="G10" s="25" t="s">
        <v>54</v>
      </c>
      <c r="H10" s="31" t="s">
        <v>57</v>
      </c>
      <c r="J10" s="273" t="s">
        <v>56</v>
      </c>
      <c r="K10" s="273"/>
      <c r="L10" s="273"/>
      <c r="M10" s="273"/>
      <c r="N10" s="5"/>
      <c r="O10" s="24" t="s">
        <v>69</v>
      </c>
      <c r="P10" s="25" t="s">
        <v>54</v>
      </c>
      <c r="Q10" s="31" t="s">
        <v>57</v>
      </c>
    </row>
    <row r="11" spans="1:17" s="21" customFormat="1" ht="15" customHeight="1" x14ac:dyDescent="0.25">
      <c r="A11" s="277" t="s">
        <v>64</v>
      </c>
      <c r="B11" s="277"/>
      <c r="C11" s="277"/>
      <c r="D11" s="277"/>
      <c r="E11" s="277"/>
      <c r="F11" s="72">
        <f>SUM(Sheet2!C48)</f>
        <v>787.5</v>
      </c>
      <c r="G11" s="73">
        <f>SUM(Sheet2!D48)</f>
        <v>0.8</v>
      </c>
      <c r="H11" s="73">
        <f>SUM(Table21[[#This Row],[kg]]*Table21[[#This Row],[€]])</f>
        <v>630</v>
      </c>
      <c r="J11" s="277" t="s">
        <v>70</v>
      </c>
      <c r="K11" s="277"/>
      <c r="L11" s="277"/>
      <c r="M11" s="277"/>
      <c r="N11" s="277"/>
      <c r="O11" s="64">
        <f>SUM(Sheet2!C53)</f>
        <v>300</v>
      </c>
      <c r="P11" s="211">
        <f>SUM(Sheet2!M44)</f>
        <v>0</v>
      </c>
      <c r="Q11" s="63">
        <f>SUM(Table212324[[#This Row],[m2]]*Table212324[[#This Row],[€]])</f>
        <v>0</v>
      </c>
    </row>
    <row r="12" spans="1:17" s="21" customFormat="1" ht="15" customHeight="1" x14ac:dyDescent="0.25">
      <c r="A12" s="284" t="s">
        <v>65</v>
      </c>
      <c r="B12" s="284"/>
      <c r="C12" s="284"/>
      <c r="D12" s="284"/>
      <c r="E12" s="284"/>
      <c r="F12" s="74"/>
      <c r="G12" s="74"/>
      <c r="H12" s="75"/>
      <c r="I12" s="23"/>
      <c r="J12" s="283" t="s">
        <v>78</v>
      </c>
      <c r="K12" s="283"/>
      <c r="L12" s="283"/>
      <c r="M12" s="283"/>
      <c r="N12" s="283"/>
      <c r="O12" s="90"/>
      <c r="P12" s="90"/>
      <c r="Q12" s="90"/>
    </row>
    <row r="13" spans="1:17" s="21" customFormat="1" ht="15" customHeight="1" x14ac:dyDescent="0.25">
      <c r="A13" s="284"/>
      <c r="B13" s="284"/>
      <c r="C13" s="284"/>
      <c r="D13" s="284"/>
      <c r="E13" s="284"/>
      <c r="F13" s="76">
        <f>SUM(Sheet2!C49)</f>
        <v>8928</v>
      </c>
      <c r="G13" s="77">
        <f>SUM(Sheet2!D49)</f>
        <v>0.8</v>
      </c>
      <c r="H13" s="73">
        <f>SUM(Table21[[#This Row],[kg]]*Table21[[#This Row],[€]])</f>
        <v>7142.4000000000005</v>
      </c>
      <c r="I13" s="59"/>
      <c r="J13" s="283"/>
      <c r="K13" s="283"/>
      <c r="L13" s="283"/>
      <c r="M13" s="283"/>
      <c r="N13" s="283"/>
      <c r="O13" s="212">
        <v>0</v>
      </c>
      <c r="P13" s="211">
        <v>0</v>
      </c>
      <c r="Q13" s="91">
        <f>SUM(Table212324[[#This Row],[m2]]*Table212324[[#This Row],[€]])</f>
        <v>0</v>
      </c>
    </row>
    <row r="14" spans="1:17" s="21" customFormat="1" ht="15" customHeight="1" x14ac:dyDescent="0.25">
      <c r="A14" s="280" t="s">
        <v>36</v>
      </c>
      <c r="B14" s="280"/>
      <c r="C14" s="280"/>
      <c r="D14" s="280"/>
      <c r="E14" s="280"/>
      <c r="F14" s="78">
        <f>SUM(Sheet2!C50)</f>
        <v>310</v>
      </c>
      <c r="G14" s="79">
        <f>SUM(Sheet2!D50)</f>
        <v>0.8</v>
      </c>
      <c r="H14" s="80">
        <f>SUM(Table21[[#This Row],[kg]]*Table21[[#This Row],[€]])</f>
        <v>248</v>
      </c>
      <c r="I14" s="59"/>
      <c r="J14" s="282" t="s">
        <v>42</v>
      </c>
      <c r="K14" s="282"/>
      <c r="L14" s="282"/>
      <c r="M14" s="282"/>
      <c r="N14" s="282"/>
      <c r="O14" s="49"/>
      <c r="P14" s="49"/>
      <c r="Q14" s="65"/>
    </row>
    <row r="15" spans="1:17" s="21" customFormat="1" ht="15" customHeight="1" x14ac:dyDescent="0.25">
      <c r="A15" s="281" t="s">
        <v>45</v>
      </c>
      <c r="B15" s="281"/>
      <c r="C15" s="281"/>
      <c r="D15" s="281"/>
      <c r="E15" s="281"/>
      <c r="F15" s="81">
        <f>SUM(Sheet2!C58)</f>
        <v>10025.5</v>
      </c>
      <c r="G15" s="82">
        <f>SUM(Sheet2!D58)</f>
        <v>2</v>
      </c>
      <c r="H15" s="83">
        <f>SUM(Table21[[#This Row],[kg]]*Table21[[#This Row],[€]])</f>
        <v>20051</v>
      </c>
      <c r="I15" s="59"/>
      <c r="J15" s="282"/>
      <c r="K15" s="282"/>
      <c r="L15" s="282"/>
      <c r="M15" s="282"/>
      <c r="N15" s="282"/>
      <c r="O15" s="208">
        <v>0</v>
      </c>
      <c r="P15" s="209">
        <v>0</v>
      </c>
      <c r="Q15" s="85">
        <f>SUM(O15*P15)</f>
        <v>0</v>
      </c>
    </row>
    <row r="16" spans="1:17" s="21" customFormat="1" ht="4.5" hidden="1" customHeight="1" x14ac:dyDescent="0.25">
      <c r="I16" s="60"/>
    </row>
    <row r="17" spans="1:17" s="21" customFormat="1" ht="15" customHeight="1" x14ac:dyDescent="0.25">
      <c r="A17" s="273" t="s">
        <v>56</v>
      </c>
      <c r="B17" s="273"/>
      <c r="C17" s="273"/>
      <c r="D17" s="273"/>
      <c r="E17" s="5"/>
      <c r="F17" s="24" t="s">
        <v>67</v>
      </c>
      <c r="G17" s="25" t="s">
        <v>54</v>
      </c>
      <c r="H17" s="31" t="s">
        <v>57</v>
      </c>
      <c r="I17" s="59"/>
      <c r="J17" s="273" t="s">
        <v>56</v>
      </c>
      <c r="K17" s="273"/>
      <c r="L17" s="273"/>
      <c r="M17" s="273"/>
      <c r="N17" s="5"/>
      <c r="O17" s="24" t="s">
        <v>71</v>
      </c>
      <c r="P17" s="25" t="s">
        <v>54</v>
      </c>
      <c r="Q17" s="31" t="s">
        <v>57</v>
      </c>
    </row>
    <row r="18" spans="1:17" ht="15" customHeight="1" x14ac:dyDescent="0.25">
      <c r="A18" s="277" t="s">
        <v>66</v>
      </c>
      <c r="B18" s="277"/>
      <c r="C18" s="277"/>
      <c r="D18" s="277"/>
      <c r="E18" s="277"/>
      <c r="F18" s="49"/>
      <c r="G18" s="49"/>
      <c r="H18" s="65"/>
      <c r="J18" s="277" t="s">
        <v>43</v>
      </c>
      <c r="K18" s="277"/>
      <c r="L18" s="277"/>
      <c r="M18" s="277"/>
      <c r="N18" s="277"/>
      <c r="O18" s="210">
        <v>0</v>
      </c>
      <c r="P18" s="211">
        <v>0</v>
      </c>
      <c r="Q18" s="70">
        <f>SUM(Table24[m3]*Table24[€])</f>
        <v>0</v>
      </c>
    </row>
    <row r="19" spans="1:17" ht="15" customHeight="1" x14ac:dyDescent="0.25">
      <c r="A19" s="277"/>
      <c r="B19" s="277"/>
      <c r="C19" s="277"/>
      <c r="D19" s="277"/>
      <c r="E19" s="277"/>
      <c r="F19" s="64">
        <f>SUM(Sheet2!C51)</f>
        <v>1116</v>
      </c>
      <c r="G19" s="63">
        <f>SUM(Sheet2!D51)</f>
        <v>10</v>
      </c>
      <c r="H19" s="63">
        <f>SUM(Table2123[[#This Row],[m1]]*Table2123[[#This Row],[€]])</f>
        <v>11160</v>
      </c>
    </row>
    <row r="20" spans="1:17" ht="12.75" customHeight="1" x14ac:dyDescent="0.25">
      <c r="A20" s="277"/>
      <c r="B20" s="277"/>
      <c r="C20" s="277"/>
      <c r="D20" s="277"/>
      <c r="E20" s="277"/>
      <c r="F20" s="45"/>
      <c r="G20" s="46"/>
      <c r="H20" s="65"/>
      <c r="J20" s="273" t="s">
        <v>56</v>
      </c>
      <c r="K20" s="273"/>
      <c r="L20" s="273"/>
      <c r="M20" s="273"/>
      <c r="N20" s="5"/>
      <c r="O20" s="24" t="s">
        <v>72</v>
      </c>
      <c r="P20" s="25" t="s">
        <v>54</v>
      </c>
      <c r="Q20" s="31" t="s">
        <v>57</v>
      </c>
    </row>
    <row r="21" spans="1:17" ht="15" customHeight="1" x14ac:dyDescent="0.25">
      <c r="A21" s="280" t="s">
        <v>68</v>
      </c>
      <c r="B21" s="280"/>
      <c r="C21" s="280"/>
      <c r="D21" s="280"/>
      <c r="E21" s="280"/>
      <c r="F21" s="208">
        <v>0</v>
      </c>
      <c r="G21" s="209">
        <v>0</v>
      </c>
      <c r="H21" s="71">
        <f>SUM(Table2123[[#This Row],[m1]]*Table2123[[#This Row],[€]])</f>
        <v>0</v>
      </c>
      <c r="J21" s="277" t="s">
        <v>39</v>
      </c>
      <c r="K21" s="277"/>
      <c r="L21" s="277"/>
      <c r="M21" s="277"/>
      <c r="N21" s="277"/>
      <c r="O21" s="210">
        <v>100</v>
      </c>
      <c r="P21" s="211">
        <v>4.8</v>
      </c>
      <c r="Q21" s="70">
        <f>SUM(Table2426[l]*Table2426[€])</f>
        <v>480</v>
      </c>
    </row>
    <row r="22" spans="1:17" s="5" customFormat="1" ht="15" customHeight="1" x14ac:dyDescent="0.25">
      <c r="A22" s="281" t="s">
        <v>46</v>
      </c>
      <c r="B22" s="281"/>
      <c r="C22" s="281"/>
      <c r="D22" s="281"/>
      <c r="E22" s="281"/>
      <c r="F22" s="66">
        <f>SUM(Sheet2!C59)</f>
        <v>1116</v>
      </c>
      <c r="G22" s="67">
        <f>SUM(Sheet2!D59)</f>
        <v>11</v>
      </c>
      <c r="H22" s="62">
        <f>SUM(Table2123[[#This Row],[m1]]*Table2123[[#This Row],[€]])</f>
        <v>12276</v>
      </c>
    </row>
    <row r="23" spans="1:17" ht="1.5" customHeight="1" x14ac:dyDescent="0.25"/>
    <row r="24" spans="1:17" x14ac:dyDescent="0.25">
      <c r="A24" s="273" t="s">
        <v>56</v>
      </c>
      <c r="B24" s="273"/>
      <c r="C24" s="273"/>
      <c r="D24" s="273"/>
      <c r="E24" s="5"/>
      <c r="F24" s="24" t="s">
        <v>153</v>
      </c>
      <c r="G24" s="25" t="s">
        <v>54</v>
      </c>
      <c r="H24" s="31" t="s">
        <v>57</v>
      </c>
      <c r="J24" s="273" t="s">
        <v>56</v>
      </c>
      <c r="K24" s="273"/>
      <c r="L24" s="273"/>
      <c r="M24" s="273"/>
      <c r="N24" s="5"/>
      <c r="O24" s="24" t="s">
        <v>153</v>
      </c>
      <c r="P24" s="25" t="s">
        <v>54</v>
      </c>
      <c r="Q24" s="31" t="s">
        <v>57</v>
      </c>
    </row>
    <row r="25" spans="1:17" x14ac:dyDescent="0.25">
      <c r="A25" s="277" t="s">
        <v>79</v>
      </c>
      <c r="B25" s="277"/>
      <c r="C25" s="277"/>
      <c r="D25" s="277"/>
      <c r="E25" s="277"/>
      <c r="F25" s="210">
        <v>0</v>
      </c>
      <c r="G25" s="211">
        <v>0</v>
      </c>
      <c r="H25" s="70">
        <f>SUM(Table242613[-]*Table242613[€])</f>
        <v>0</v>
      </c>
      <c r="J25" s="277" t="s">
        <v>80</v>
      </c>
      <c r="K25" s="277"/>
      <c r="L25" s="277"/>
      <c r="M25" s="277"/>
      <c r="N25" s="277"/>
      <c r="O25" s="210">
        <v>0</v>
      </c>
      <c r="P25" s="211">
        <v>0</v>
      </c>
      <c r="Q25" s="70">
        <f>SUM(Table24262[-]*Table24262[€])</f>
        <v>0</v>
      </c>
    </row>
    <row r="26" spans="1:17" x14ac:dyDescent="0.25">
      <c r="A26" s="271" t="s">
        <v>270</v>
      </c>
      <c r="B26" s="272"/>
      <c r="C26" s="272"/>
      <c r="D26" s="272"/>
      <c r="E26" s="272"/>
      <c r="F26" s="272"/>
      <c r="G26" s="272"/>
      <c r="H26" s="272"/>
      <c r="I26" s="272"/>
    </row>
    <row r="27" spans="1:17" ht="26.25" customHeight="1" x14ac:dyDescent="0.25">
      <c r="A27" s="272"/>
      <c r="B27" s="272"/>
      <c r="C27" s="272"/>
      <c r="D27" s="272"/>
      <c r="E27" s="272"/>
      <c r="F27" s="272"/>
      <c r="G27" s="272"/>
      <c r="H27" s="272"/>
      <c r="I27" s="272"/>
    </row>
  </sheetData>
  <sheetProtection password="CE24" sheet="1" objects="1" scenarios="1"/>
  <mergeCells count="22">
    <mergeCell ref="A10:D10"/>
    <mergeCell ref="A11:E11"/>
    <mergeCell ref="A12:E13"/>
    <mergeCell ref="A14:E14"/>
    <mergeCell ref="A15:E15"/>
    <mergeCell ref="J10:M10"/>
    <mergeCell ref="J11:N11"/>
    <mergeCell ref="J14:N15"/>
    <mergeCell ref="J17:M17"/>
    <mergeCell ref="J18:N18"/>
    <mergeCell ref="J12:N13"/>
    <mergeCell ref="A26:I27"/>
    <mergeCell ref="A17:D17"/>
    <mergeCell ref="A21:E21"/>
    <mergeCell ref="A18:E20"/>
    <mergeCell ref="J24:M24"/>
    <mergeCell ref="J25:N25"/>
    <mergeCell ref="A24:D24"/>
    <mergeCell ref="A25:E25"/>
    <mergeCell ref="J20:M20"/>
    <mergeCell ref="J21:N21"/>
    <mergeCell ref="A22:E22"/>
  </mergeCells>
  <pageMargins left="0.7" right="0.7" top="0.75" bottom="0.75" header="0.3" footer="0.3"/>
  <pageSetup paperSize="9" orientation="portrait" horizontalDpi="300" verticalDpi="300" r:id="rId1"/>
  <drawing r:id="rId2"/>
  <picture r:id="rId3"/>
  <tableParts count="7">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HOME</vt:lpstr>
      <vt:lpstr>0.ORDER from</vt:lpstr>
      <vt:lpstr>1Surface</vt:lpstr>
      <vt:lpstr>2Length</vt:lpstr>
      <vt:lpstr>3Plaster</vt:lpstr>
      <vt:lpstr>4Weight</vt:lpstr>
      <vt:lpstr>5Earthquake</vt:lpstr>
      <vt:lpstr>6Offer</vt:lpstr>
      <vt:lpstr>7Bill</vt:lpstr>
      <vt:lpstr>8Con design</vt:lpstr>
      <vt:lpstr>9Link Damp</vt:lpstr>
      <vt:lpstr>10Link woll</vt:lpstr>
      <vt:lpstr>Sheet2</vt:lpstr>
      <vt:lpstr>_06.04.2017.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zarko.petraskovic</dc:creator>
  <cp:lastModifiedBy>Dragana</cp:lastModifiedBy>
  <cp:lastPrinted>2017-04-07T09:23:17Z</cp:lastPrinted>
  <dcterms:created xsi:type="dcterms:W3CDTF">2017-03-06T08:07:37Z</dcterms:created>
  <dcterms:modified xsi:type="dcterms:W3CDTF">2017-04-07T15:41:19Z</dcterms:modified>
</cp:coreProperties>
</file>